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590" yWindow="65431" windowWidth="7680" windowHeight="8910" tabRatio="777" activeTab="4"/>
  </bookViews>
  <sheets>
    <sheet name="Základní list" sheetId="1" r:id="rId1"/>
    <sheet name="Výsledková listina" sheetId="2" r:id="rId2"/>
    <sheet name="1. závod" sheetId="3" r:id="rId3"/>
    <sheet name="2. závod" sheetId="4" r:id="rId4"/>
    <sheet name="Závod družstev" sheetId="5" r:id="rId5"/>
  </sheets>
  <externalReferences>
    <externalReference r:id="rId8"/>
  </externalReferences>
  <definedNames>
    <definedName name="_xlnm._FilterDatabase" localSheetId="1" hidden="1">'Výsledková listina'!$A$8:$S$70</definedName>
    <definedName name="_xlnm._FilterDatabase" localSheetId="4" hidden="1">'Závod družstev'!$D$5:$P$26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3">'2. závod'!$A:$A</definedName>
    <definedName name="_xlnm.Print_Titles" localSheetId="1">'Výsledková listina'!$6:$8</definedName>
    <definedName name="_xlnm.Print_Area" localSheetId="2">'1. závod'!$A$1:$AE$13</definedName>
    <definedName name="_xlnm.Print_Area" localSheetId="3">'2. závod'!$A$1:$AE$13</definedName>
    <definedName name="_xlnm.Print_Area" localSheetId="1">'Výsledková listina'!$A$1:$Q$72</definedName>
    <definedName name="wrn.sektor1." localSheetId="3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závod'!$N:$N,'1. závod'!#REF!</definedName>
    <definedName name="Z_5AB3ED42_6F34_11D3_9C22_00A0243EF9BD_.wvu.Cols" localSheetId="3" hidden="1">'2. závod'!#REF!,'2. závod'!#REF!,'2. závod'!$N:$N,'2. závod'!#REF!</definedName>
  </definedNames>
  <calcPr fullCalcOnLoad="1"/>
</workbook>
</file>

<file path=xl/sharedStrings.xml><?xml version="1.0" encoding="utf-8"?>
<sst xmlns="http://schemas.openxmlformats.org/spreadsheetml/2006/main" count="484" uniqueCount="184">
  <si>
    <t>1. Závod</t>
  </si>
  <si>
    <t>2. Závod</t>
  </si>
  <si>
    <t>Celkem</t>
  </si>
  <si>
    <t>Sektor</t>
  </si>
  <si>
    <t>CIPS</t>
  </si>
  <si>
    <t>Poř</t>
  </si>
  <si>
    <t>Body</t>
  </si>
  <si>
    <t>ID</t>
  </si>
  <si>
    <t>čís</t>
  </si>
  <si>
    <t>sk</t>
  </si>
  <si>
    <t>Místo konání:</t>
  </si>
  <si>
    <t>Druh závodu:</t>
  </si>
  <si>
    <t xml:space="preserve">Podpis pořadatele </t>
  </si>
  <si>
    <t>čís. sek</t>
  </si>
  <si>
    <t>Jméno</t>
  </si>
  <si>
    <t>hmotn.</t>
  </si>
  <si>
    <t>um.</t>
  </si>
  <si>
    <t>Závodník</t>
  </si>
  <si>
    <t>Podpis hl. rozhodčího</t>
  </si>
  <si>
    <t>A</t>
  </si>
  <si>
    <t>D</t>
  </si>
  <si>
    <t>E</t>
  </si>
  <si>
    <t>C</t>
  </si>
  <si>
    <t>B</t>
  </si>
  <si>
    <t>F</t>
  </si>
  <si>
    <t>1 k</t>
  </si>
  <si>
    <t>2 k</t>
  </si>
  <si>
    <t>p</t>
  </si>
  <si>
    <t>SEKTOR</t>
  </si>
  <si>
    <t>Sektory</t>
  </si>
  <si>
    <t>Podpis garanta</t>
  </si>
  <si>
    <t>Index</t>
  </si>
  <si>
    <t>Základní popis závodů</t>
  </si>
  <si>
    <t>Datum konání: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</si>
  <si>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</si>
  <si>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</si>
  <si>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</si>
  <si>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</si>
  <si>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</si>
  <si>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</si>
  <si>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</si>
  <si>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</si>
  <si>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</si>
  <si>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prům na závdníka</t>
  </si>
  <si>
    <t>Naloveno</t>
  </si>
  <si>
    <t>CELKEM</t>
  </si>
  <si>
    <t>Maximálně naloveno</t>
  </si>
  <si>
    <t>Los</t>
  </si>
  <si>
    <t>1.záv.</t>
  </si>
  <si>
    <t>2.záv.</t>
  </si>
  <si>
    <t>M</t>
  </si>
  <si>
    <t>Podpis</t>
  </si>
  <si>
    <t>Reg.</t>
  </si>
  <si>
    <t>Jednotivci</t>
  </si>
  <si>
    <t>Družstva</t>
  </si>
  <si>
    <t>Družstvo</t>
  </si>
  <si>
    <t>Soutěž družstev</t>
  </si>
  <si>
    <t>počet</t>
  </si>
  <si>
    <t>Počet juniorů (J,JŽ)</t>
  </si>
  <si>
    <t>Počet kadetů (K,KŽ)</t>
  </si>
  <si>
    <t>Počet žen (Ž,KŽ,JŽ)</t>
  </si>
  <si>
    <t>Počet hendikepovaných (H)</t>
  </si>
  <si>
    <t>Počet mužů (M)</t>
  </si>
  <si>
    <t>REG.</t>
  </si>
  <si>
    <t>Výsledková listina</t>
  </si>
  <si>
    <t>Sponzor:</t>
  </si>
  <si>
    <t>Garant:</t>
  </si>
  <si>
    <t xml:space="preserve">MO </t>
  </si>
  <si>
    <t>Všenory Berounka</t>
  </si>
  <si>
    <t>1.kolo - I.liga</t>
  </si>
  <si>
    <t>22.-23.5.2010</t>
  </si>
  <si>
    <t>Radana Srbová</t>
  </si>
  <si>
    <t>František Koubek</t>
  </si>
  <si>
    <t>Ouředniček Jiří</t>
  </si>
  <si>
    <t>MO Kobylisy</t>
  </si>
  <si>
    <t>Ouředniček Jan</t>
  </si>
  <si>
    <t>Stejskal Miroslav</t>
  </si>
  <si>
    <t>MIVARDI FEEDER TEAM</t>
  </si>
  <si>
    <t>MO Uničov</t>
  </si>
  <si>
    <t>MO Chropyně</t>
  </si>
  <si>
    <t>Bořuta Pavel</t>
  </si>
  <si>
    <t>Hrabal Vladimír</t>
  </si>
  <si>
    <t>NORMARK-Fishing Feeder Team MO Uničov</t>
  </si>
  <si>
    <t>Vitásek Jiří</t>
  </si>
  <si>
    <t>Hanousek Václav</t>
  </si>
  <si>
    <t>Peřina Josef</t>
  </si>
  <si>
    <t>MO Loštice</t>
  </si>
  <si>
    <t>MO Olomouc</t>
  </si>
  <si>
    <t>Azbeři</t>
  </si>
  <si>
    <t>Hahn Petr</t>
  </si>
  <si>
    <t>MO Pankrác</t>
  </si>
  <si>
    <t>MO Zbraslav</t>
  </si>
  <si>
    <t>Smutný Jiří</t>
  </si>
  <si>
    <t>Sofron Pavel</t>
  </si>
  <si>
    <t>MILO Feeder Team</t>
  </si>
  <si>
    <t>Vávra Jiří</t>
  </si>
  <si>
    <t>MO Lipník nad Bečvou</t>
  </si>
  <si>
    <t>MO Valašské Meziříčí</t>
  </si>
  <si>
    <t>Janiš Jiří</t>
  </si>
  <si>
    <t>Dorotík Tomáš</t>
  </si>
  <si>
    <t>Juřík Milan</t>
  </si>
  <si>
    <t>Staněk Karel</t>
  </si>
  <si>
    <t>Tóth Petr</t>
  </si>
  <si>
    <t>MO Karlovy Vary</t>
  </si>
  <si>
    <t>FAPS FEEDER TEAM</t>
  </si>
  <si>
    <t>Chalupa Ladislav</t>
  </si>
  <si>
    <t>Pelíšek František</t>
  </si>
  <si>
    <t>Vinař René</t>
  </si>
  <si>
    <t>DAIWA Sports Feeder team</t>
  </si>
  <si>
    <t>Kasl Luboš</t>
  </si>
  <si>
    <t>Podrápský Petr</t>
  </si>
  <si>
    <t>Stříbrský Voktor</t>
  </si>
  <si>
    <t>MO Štěnovice</t>
  </si>
  <si>
    <t>MO Hostivař</t>
  </si>
  <si>
    <t>Srb Roman</t>
  </si>
  <si>
    <t>Douša Jan</t>
  </si>
  <si>
    <t>Šurgota Juraj</t>
  </si>
  <si>
    <t>MO Smečno</t>
  </si>
  <si>
    <t>Kukající vlci RSK FeederKlub</t>
  </si>
  <si>
    <t>Hardy Feeder Team</t>
  </si>
  <si>
    <t>Konopásek Jaroslav</t>
  </si>
  <si>
    <t>Bartoň Roman</t>
  </si>
  <si>
    <t>Bromovský Petr</t>
  </si>
  <si>
    <t>MO Roztoky</t>
  </si>
  <si>
    <t>MO Libčice</t>
  </si>
  <si>
    <t>Štěpnička Milan</t>
  </si>
  <si>
    <t>Štěpnička Radek</t>
  </si>
  <si>
    <t>Baranka Vladimír</t>
  </si>
  <si>
    <t>MO Český Šternberk</t>
  </si>
  <si>
    <t>Feeder Team Český Šternberk</t>
  </si>
  <si>
    <t xml:space="preserve">RoyalBait Feeder Team </t>
  </si>
  <si>
    <t>Kabourek Václav</t>
  </si>
  <si>
    <t>Štěpnička Martin</t>
  </si>
  <si>
    <t>MO Bílina</t>
  </si>
  <si>
    <t>Feeder TeamBraník Praha 4 RoyalBait</t>
  </si>
  <si>
    <t>Kuchař Petr</t>
  </si>
  <si>
    <t>Hlína Václav</t>
  </si>
  <si>
    <t>Pavelka Viktor</t>
  </si>
  <si>
    <t>MO Braník</t>
  </si>
  <si>
    <t>KODYJAK FEEDER TEAM</t>
  </si>
  <si>
    <t>Tůma David</t>
  </si>
  <si>
    <t>Kodýdek Jiří</t>
  </si>
  <si>
    <t>Jurka Jiří</t>
  </si>
  <si>
    <t>MO Břevnov</t>
  </si>
  <si>
    <t>MO Žižkov II</t>
  </si>
  <si>
    <t>RSK KS-FISH Garbolino MO Jaroměř</t>
  </si>
  <si>
    <t>Dušánek Bohuslav</t>
  </si>
  <si>
    <t>MO Jaroměř</t>
  </si>
  <si>
    <t>Kadlec Tomáš</t>
  </si>
  <si>
    <t>MO Česká Skalice</t>
  </si>
  <si>
    <t>Havlíček Petr</t>
  </si>
  <si>
    <t>Funda Petr</t>
  </si>
  <si>
    <t>MO Kolín</t>
  </si>
  <si>
    <t>MO Úvaly</t>
  </si>
  <si>
    <t>MO Ledeč n/Sázavou</t>
  </si>
  <si>
    <t>Kaprňák team</t>
  </si>
  <si>
    <t>RoyalBait IQ Team</t>
  </si>
  <si>
    <t>Zdvořáček David</t>
  </si>
  <si>
    <t>Bruner Václav</t>
  </si>
  <si>
    <t>Skála Petr</t>
  </si>
  <si>
    <t>Kuneš Luboš</t>
  </si>
  <si>
    <t>Fejfar Kamil</t>
  </si>
  <si>
    <t>MO</t>
  </si>
  <si>
    <t>MO Plzeň 1</t>
  </si>
  <si>
    <t>Rybářský kroužek</t>
  </si>
  <si>
    <t>Černý Radek</t>
  </si>
  <si>
    <t>Ševčík Ladislav</t>
  </si>
  <si>
    <t>Oliva Vladimír</t>
  </si>
  <si>
    <t>MO Třebíč</t>
  </si>
  <si>
    <t>MO Rosice</t>
  </si>
  <si>
    <t>Krýsl Pavel</t>
  </si>
  <si>
    <t>Soukup Michal</t>
  </si>
  <si>
    <t>Přátelé ušlechtilého rybolovu</t>
  </si>
  <si>
    <t>Feeder team Maver Ostrá Plzeň</t>
  </si>
  <si>
    <t>Babica Ladislav</t>
  </si>
  <si>
    <t>AWA-SHIMA  MO MRS Třebíč Sarfix</t>
  </si>
  <si>
    <t>Nocar Pavel</t>
  </si>
  <si>
    <t>Novák Jan</t>
  </si>
  <si>
    <t>Raven Fishing Aussie MO ČRS Olomouc</t>
  </si>
  <si>
    <t>Sičák Pavel</t>
  </si>
  <si>
    <t>Čečil Lukáš</t>
  </si>
  <si>
    <t>družstvo s forhontem</t>
  </si>
  <si>
    <t>napomenutí</t>
  </si>
  <si>
    <t>sektorové vítězství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</si>
</sst>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b/>
      <sz val="16"/>
      <name val="Century Gothic"/>
      <family val="2"/>
    </font>
    <font>
      <b/>
      <i/>
      <sz val="12"/>
      <name val="Arial CE"/>
      <family val="0"/>
    </font>
    <font>
      <b/>
      <i/>
      <u val="single"/>
      <sz val="12"/>
      <name val="Arial CE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2" fillId="0" borderId="14" xfId="0" applyFont="1" applyBorder="1" applyAlignment="1" applyProtection="1" quotePrefix="1">
      <alignment horizontal="center" vertic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18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19" xfId="0" applyFont="1" applyBorder="1" applyAlignment="1" applyProtection="1">
      <alignment horizontal="right" vertical="center"/>
      <protection hidden="1"/>
    </xf>
    <xf numFmtId="0" fontId="1" fillId="0" borderId="20" xfId="0" applyFont="1" applyBorder="1" applyAlignment="1" applyProtection="1">
      <alignment horizontal="right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 locked="0"/>
    </xf>
    <xf numFmtId="0" fontId="1" fillId="0" borderId="18" xfId="0" applyFont="1" applyBorder="1" applyAlignment="1" applyProtection="1">
      <alignment horizontal="center" vertical="center"/>
      <protection hidden="1" locked="0"/>
    </xf>
    <xf numFmtId="0" fontId="1" fillId="0" borderId="17" xfId="0" applyFont="1" applyBorder="1" applyAlignment="1" applyProtection="1">
      <alignment vertical="center"/>
      <protection hidden="1" locked="0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1" fillId="0" borderId="21" xfId="0" applyFont="1" applyBorder="1" applyAlignment="1" applyProtection="1">
      <alignment horizontal="left" vertical="center"/>
      <protection hidden="1" locked="0"/>
    </xf>
    <xf numFmtId="0" fontId="1" fillId="0" borderId="22" xfId="0" applyFont="1" applyBorder="1" applyAlignment="1" applyProtection="1">
      <alignment horizontal="center" vertical="center"/>
      <protection hidden="1" locked="0"/>
    </xf>
    <xf numFmtId="0" fontId="1" fillId="0" borderId="20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 quotePrefix="1">
      <alignment vertical="center" wrapText="1"/>
      <protection hidden="1"/>
    </xf>
    <xf numFmtId="0" fontId="1" fillId="0" borderId="0" xfId="0" applyFont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vertical="center" wrapText="1"/>
      <protection hidden="1" locked="0"/>
    </xf>
    <xf numFmtId="0" fontId="0" fillId="0" borderId="0" xfId="0" applyAlignment="1">
      <alignment horizontal="center" vertical="center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 locked="0"/>
    </xf>
    <xf numFmtId="3" fontId="2" fillId="0" borderId="25" xfId="0" applyNumberFormat="1" applyFont="1" applyBorder="1" applyAlignment="1" applyProtection="1">
      <alignment horizontal="right" vertical="center" wrapText="1"/>
      <protection hidden="1"/>
    </xf>
    <xf numFmtId="3" fontId="2" fillId="0" borderId="17" xfId="0" applyNumberFormat="1" applyFont="1" applyBorder="1" applyAlignment="1" applyProtection="1">
      <alignment horizontal="right" vertical="center" wrapText="1"/>
      <protection hidden="1"/>
    </xf>
    <xf numFmtId="3" fontId="8" fillId="0" borderId="17" xfId="0" applyNumberFormat="1" applyFont="1" applyBorder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1" fillId="0" borderId="26" xfId="0" applyFont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vertical="center" wrapText="1"/>
      <protection hidden="1" locked="0"/>
    </xf>
    <xf numFmtId="0" fontId="1" fillId="0" borderId="28" xfId="0" applyFont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vertical="center" wrapText="1"/>
      <protection hidden="1"/>
    </xf>
    <xf numFmtId="0" fontId="0" fillId="0" borderId="21" xfId="0" applyBorder="1" applyAlignment="1" applyProtection="1">
      <alignment vertical="center" wrapText="1"/>
      <protection hidden="1"/>
    </xf>
    <xf numFmtId="0" fontId="2" fillId="0" borderId="19" xfId="0" applyFont="1" applyBorder="1" applyAlignment="1" applyProtection="1" quotePrefix="1">
      <alignment horizontal="left" vertical="center" wrapText="1"/>
      <protection hidden="1"/>
    </xf>
    <xf numFmtId="0" fontId="1" fillId="0" borderId="30" xfId="0" applyFont="1" applyBorder="1" applyAlignment="1" applyProtection="1" quotePrefix="1">
      <alignment horizontal="center" vertical="center" wrapText="1"/>
      <protection hidden="1"/>
    </xf>
    <xf numFmtId="0" fontId="9" fillId="0" borderId="0" xfId="0" applyFont="1" applyAlignment="1">
      <alignment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right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right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 locked="0"/>
    </xf>
    <xf numFmtId="0" fontId="1" fillId="0" borderId="15" xfId="0" applyFont="1" applyBorder="1" applyAlignment="1" applyProtection="1">
      <alignment horizontal="center" vertical="center"/>
      <protection hidden="1" locked="0"/>
    </xf>
    <xf numFmtId="0" fontId="1" fillId="0" borderId="32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 locked="0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vertical="center" wrapText="1"/>
      <protection hidden="1" locked="0"/>
    </xf>
    <xf numFmtId="0" fontId="2" fillId="0" borderId="17" xfId="0" applyFont="1" applyBorder="1" applyAlignment="1" applyProtection="1">
      <alignment/>
      <protection hidden="1"/>
    </xf>
    <xf numFmtId="0" fontId="2" fillId="0" borderId="17" xfId="0" applyFont="1" applyBorder="1" applyAlignment="1">
      <alignment/>
    </xf>
    <xf numFmtId="0" fontId="1" fillId="0" borderId="33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 quotePrefix="1">
      <alignment horizontal="center" vertical="center" wrapText="1"/>
      <protection hidden="1"/>
    </xf>
    <xf numFmtId="0" fontId="1" fillId="0" borderId="15" xfId="0" applyFont="1" applyBorder="1" applyAlignment="1" applyProtection="1">
      <alignment vertical="center"/>
      <protection hidden="1" locked="0"/>
    </xf>
    <xf numFmtId="0" fontId="1" fillId="0" borderId="16" xfId="0" applyFont="1" applyBorder="1" applyAlignment="1" applyProtection="1">
      <alignment horizontal="left" vertical="center"/>
      <protection hidden="1" locked="0"/>
    </xf>
    <xf numFmtId="0" fontId="2" fillId="0" borderId="34" xfId="0" applyFont="1" applyBorder="1" applyAlignment="1" applyProtection="1">
      <alignment horizontal="center" vertical="center"/>
      <protection hidden="1" locked="0"/>
    </xf>
    <xf numFmtId="0" fontId="1" fillId="0" borderId="35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1" fillId="0" borderId="37" xfId="0" applyFont="1" applyBorder="1" applyAlignment="1" applyProtection="1">
      <alignment horizontal="center" vertical="center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13" fillId="0" borderId="0" xfId="0" applyFont="1" applyAlignment="1">
      <alignment/>
    </xf>
    <xf numFmtId="49" fontId="1" fillId="0" borderId="0" xfId="0" applyNumberFormat="1" applyFont="1" applyAlignment="1" applyProtection="1">
      <alignment/>
      <protection hidden="1" locked="0"/>
    </xf>
    <xf numFmtId="0" fontId="8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0" xfId="0" applyFont="1" applyAlignment="1" applyProtection="1">
      <alignment/>
      <protection hidden="1"/>
    </xf>
    <xf numFmtId="0" fontId="10" fillId="0" borderId="0" xfId="0" applyFont="1" applyBorder="1" applyAlignment="1">
      <alignment horizontal="center"/>
    </xf>
    <xf numFmtId="0" fontId="0" fillId="0" borderId="0" xfId="0" applyAlignment="1" applyProtection="1" quotePrefix="1">
      <alignment/>
      <protection hidden="1"/>
    </xf>
    <xf numFmtId="0" fontId="1" fillId="0" borderId="39" xfId="0" applyFont="1" applyBorder="1" applyAlignment="1" applyProtection="1">
      <alignment vertical="center"/>
      <protection hidden="1" locked="0"/>
    </xf>
    <xf numFmtId="0" fontId="1" fillId="0" borderId="40" xfId="0" applyFont="1" applyBorder="1" applyAlignment="1" applyProtection="1">
      <alignment horizontal="right" vertical="center"/>
      <protection hidden="1"/>
    </xf>
    <xf numFmtId="0" fontId="1" fillId="0" borderId="19" xfId="0" applyFont="1" applyFill="1" applyBorder="1" applyAlignment="1" applyProtection="1">
      <alignment horizontal="center" vertical="center"/>
      <protection hidden="1" locked="0"/>
    </xf>
    <xf numFmtId="0" fontId="1" fillId="0" borderId="17" xfId="0" applyFont="1" applyFill="1" applyBorder="1" applyAlignment="1" applyProtection="1">
      <alignment vertical="center"/>
      <protection hidden="1" locked="0"/>
    </xf>
    <xf numFmtId="0" fontId="1" fillId="0" borderId="17" xfId="0" applyFont="1" applyFill="1" applyBorder="1" applyAlignment="1" applyProtection="1">
      <alignment horizontal="center" vertical="center"/>
      <protection hidden="1" locked="0"/>
    </xf>
    <xf numFmtId="0" fontId="1" fillId="0" borderId="21" xfId="0" applyFont="1" applyFill="1" applyBorder="1" applyAlignment="1" applyProtection="1">
      <alignment horizontal="left" vertical="center"/>
      <protection hidden="1" locked="0"/>
    </xf>
    <xf numFmtId="0" fontId="1" fillId="0" borderId="41" xfId="0" applyFont="1" applyFill="1" applyBorder="1" applyAlignment="1" applyProtection="1">
      <alignment vertical="center"/>
      <protection hidden="1" locked="0"/>
    </xf>
    <xf numFmtId="0" fontId="1" fillId="0" borderId="22" xfId="0" applyFont="1" applyFill="1" applyBorder="1" applyAlignment="1" applyProtection="1">
      <alignment horizontal="center" vertical="center"/>
      <protection hidden="1" locked="0"/>
    </xf>
    <xf numFmtId="0" fontId="1" fillId="0" borderId="18" xfId="0" applyFont="1" applyFill="1" applyBorder="1" applyAlignment="1" applyProtection="1">
      <alignment horizontal="right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1" fillId="0" borderId="18" xfId="0" applyFont="1" applyFill="1" applyBorder="1" applyAlignment="1" applyProtection="1">
      <alignment horizontal="center" vertical="center"/>
      <protection hidden="1" locked="0"/>
    </xf>
    <xf numFmtId="0" fontId="1" fillId="0" borderId="17" xfId="0" applyFont="1" applyFill="1" applyBorder="1" applyAlignment="1" applyProtection="1">
      <alignment horizontal="right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1" fillId="0" borderId="19" xfId="0" applyFont="1" applyFill="1" applyBorder="1" applyAlignment="1" applyProtection="1">
      <alignment horizontal="right" vertical="center"/>
      <protection hidden="1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 locked="0"/>
    </xf>
    <xf numFmtId="0" fontId="1" fillId="0" borderId="17" xfId="0" applyFont="1" applyFill="1" applyBorder="1" applyAlignment="1">
      <alignment/>
    </xf>
    <xf numFmtId="0" fontId="1" fillId="0" borderId="30" xfId="0" applyFont="1" applyFill="1" applyBorder="1" applyAlignment="1" applyProtection="1">
      <alignment vertical="center"/>
      <protection hidden="1" locked="0"/>
    </xf>
    <xf numFmtId="0" fontId="0" fillId="0" borderId="0" xfId="0" applyFont="1" applyAlignment="1" applyProtection="1">
      <alignment horizontal="left"/>
      <protection hidden="1"/>
    </xf>
    <xf numFmtId="0" fontId="1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33" borderId="30" xfId="0" applyFont="1" applyFill="1" applyBorder="1" applyAlignment="1" applyProtection="1">
      <alignment vertical="center"/>
      <protection hidden="1" locked="0"/>
    </xf>
    <xf numFmtId="0" fontId="1" fillId="33" borderId="41" xfId="0" applyFont="1" applyFill="1" applyBorder="1" applyAlignment="1" applyProtection="1">
      <alignment vertical="center"/>
      <protection hidden="1" locked="0"/>
    </xf>
    <xf numFmtId="0" fontId="1" fillId="0" borderId="42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1" fillId="0" borderId="44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 wrapText="1"/>
      <protection hidden="1" locked="0"/>
    </xf>
    <xf numFmtId="0" fontId="1" fillId="0" borderId="17" xfId="0" applyFont="1" applyBorder="1" applyAlignment="1" applyProtection="1">
      <alignment vertical="center"/>
      <protection hidden="1"/>
    </xf>
    <xf numFmtId="0" fontId="1" fillId="0" borderId="45" xfId="0" applyFont="1" applyFill="1" applyBorder="1" applyAlignment="1" applyProtection="1">
      <alignment horizontal="left" vertical="center"/>
      <protection hidden="1" locked="0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45" xfId="0" applyFont="1" applyFill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1" fillId="0" borderId="18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 locked="0"/>
    </xf>
    <xf numFmtId="0" fontId="1" fillId="0" borderId="42" xfId="0" applyFont="1" applyBorder="1" applyAlignment="1" applyProtection="1">
      <alignment vertical="center"/>
      <protection hidden="1"/>
    </xf>
    <xf numFmtId="0" fontId="1" fillId="0" borderId="46" xfId="0" applyFont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left" vertical="center"/>
      <protection hidden="1" locked="0"/>
    </xf>
    <xf numFmtId="0" fontId="1" fillId="33" borderId="17" xfId="0" applyFont="1" applyFill="1" applyBorder="1" applyAlignment="1" applyProtection="1">
      <alignment vertical="center"/>
      <protection hidden="1" locked="0"/>
    </xf>
    <xf numFmtId="0" fontId="2" fillId="0" borderId="17" xfId="0" applyFont="1" applyFill="1" applyBorder="1" applyAlignment="1" applyProtection="1">
      <alignment horizontal="center" vertical="center"/>
      <protection hidden="1" locked="0"/>
    </xf>
    <xf numFmtId="0" fontId="1" fillId="33" borderId="22" xfId="0" applyFont="1" applyFill="1" applyBorder="1" applyAlignment="1" applyProtection="1">
      <alignment horizontal="center" vertical="center"/>
      <protection hidden="1" locked="0"/>
    </xf>
    <xf numFmtId="0" fontId="1" fillId="33" borderId="47" xfId="0" applyFont="1" applyFill="1" applyBorder="1" applyAlignment="1" applyProtection="1">
      <alignment horizontal="right" vertical="center"/>
      <protection hidden="1" locked="0"/>
    </xf>
    <xf numFmtId="0" fontId="1" fillId="33" borderId="28" xfId="0" applyFont="1" applyFill="1" applyBorder="1" applyAlignment="1" applyProtection="1">
      <alignment horizontal="left" vertical="center" wrapText="1"/>
      <protection hidden="1"/>
    </xf>
    <xf numFmtId="0" fontId="0" fillId="33" borderId="48" xfId="0" applyFont="1" applyFill="1" applyBorder="1" applyAlignment="1" applyProtection="1">
      <alignment horizontal="right" vertical="center"/>
      <protection hidden="1"/>
    </xf>
    <xf numFmtId="0" fontId="0" fillId="33" borderId="49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>
      <alignment/>
    </xf>
    <xf numFmtId="0" fontId="1" fillId="33" borderId="35" xfId="0" applyFont="1" applyFill="1" applyBorder="1" applyAlignment="1" applyProtection="1">
      <alignment horizontal="right" vertical="center"/>
      <protection hidden="1" locked="0"/>
    </xf>
    <xf numFmtId="0" fontId="1" fillId="33" borderId="21" xfId="0" applyFont="1" applyFill="1" applyBorder="1" applyAlignment="1" applyProtection="1">
      <alignment horizontal="left" vertical="center" wrapText="1"/>
      <protection hidden="1"/>
    </xf>
    <xf numFmtId="0" fontId="0" fillId="33" borderId="22" xfId="0" applyFont="1" applyFill="1" applyBorder="1" applyAlignment="1" applyProtection="1">
      <alignment horizontal="right" vertical="center"/>
      <protection hidden="1"/>
    </xf>
    <xf numFmtId="0" fontId="0" fillId="33" borderId="17" xfId="0" applyFont="1" applyFill="1" applyBorder="1" applyAlignment="1" applyProtection="1">
      <alignment horizontal="center" vertical="center"/>
      <protection hidden="1"/>
    </xf>
    <xf numFmtId="0" fontId="1" fillId="33" borderId="15" xfId="0" applyFont="1" applyFill="1" applyBorder="1" applyAlignment="1" applyProtection="1">
      <alignment horizontal="right" vertical="center"/>
      <protection hidden="1" locked="0"/>
    </xf>
    <xf numFmtId="0" fontId="1" fillId="33" borderId="45" xfId="0" applyFont="1" applyFill="1" applyBorder="1" applyAlignment="1" applyProtection="1">
      <alignment horizontal="left" vertical="center" wrapText="1"/>
      <protection hidden="1"/>
    </xf>
    <xf numFmtId="0" fontId="0" fillId="33" borderId="19" xfId="0" applyFont="1" applyFill="1" applyBorder="1" applyAlignment="1" applyProtection="1">
      <alignment horizontal="right" vertical="center"/>
      <protection hidden="1"/>
    </xf>
    <xf numFmtId="0" fontId="0" fillId="33" borderId="18" xfId="0" applyFont="1" applyFill="1" applyBorder="1" applyAlignment="1" applyProtection="1">
      <alignment horizontal="center" vertical="center"/>
      <protection hidden="1"/>
    </xf>
    <xf numFmtId="0" fontId="1" fillId="33" borderId="49" xfId="0" applyFont="1" applyFill="1" applyBorder="1" applyAlignment="1" applyProtection="1">
      <alignment horizontal="right" vertical="center"/>
      <protection hidden="1" locked="0"/>
    </xf>
    <xf numFmtId="0" fontId="1" fillId="33" borderId="17" xfId="0" applyFont="1" applyFill="1" applyBorder="1" applyAlignment="1" applyProtection="1">
      <alignment horizontal="right" vertical="center"/>
      <protection hidden="1" locked="0"/>
    </xf>
    <xf numFmtId="0" fontId="1" fillId="33" borderId="18" xfId="0" applyFont="1" applyFill="1" applyBorder="1" applyAlignment="1" applyProtection="1">
      <alignment horizontal="right" vertical="center"/>
      <protection hidden="1" locked="0"/>
    </xf>
    <xf numFmtId="0" fontId="1" fillId="33" borderId="36" xfId="0" applyFont="1" applyFill="1" applyBorder="1" applyAlignment="1" applyProtection="1">
      <alignment horizontal="left" vertical="center" wrapText="1"/>
      <protection hidden="1"/>
    </xf>
    <xf numFmtId="0" fontId="0" fillId="33" borderId="38" xfId="0" applyFont="1" applyFill="1" applyBorder="1" applyAlignment="1" applyProtection="1">
      <alignment horizontal="right" vertical="center"/>
      <protection hidden="1"/>
    </xf>
    <xf numFmtId="0" fontId="0" fillId="33" borderId="35" xfId="0" applyFont="1" applyFill="1" applyBorder="1" applyAlignment="1" applyProtection="1">
      <alignment horizontal="center" vertical="center"/>
      <protection hidden="1"/>
    </xf>
    <xf numFmtId="0" fontId="1" fillId="33" borderId="16" xfId="0" applyFont="1" applyFill="1" applyBorder="1" applyAlignment="1" applyProtection="1">
      <alignment horizontal="left" vertical="center" wrapText="1"/>
      <protection hidden="1"/>
    </xf>
    <xf numFmtId="0" fontId="0" fillId="33" borderId="31" xfId="0" applyFont="1" applyFill="1" applyBorder="1" applyAlignment="1" applyProtection="1">
      <alignment horizontal="right" vertical="center"/>
      <protection hidden="1"/>
    </xf>
    <xf numFmtId="0" fontId="0" fillId="33" borderId="15" xfId="0" applyFont="1" applyFill="1" applyBorder="1" applyAlignment="1" applyProtection="1">
      <alignment horizontal="center" vertical="center"/>
      <protection hidden="1"/>
    </xf>
    <xf numFmtId="0" fontId="0" fillId="33" borderId="20" xfId="0" applyFont="1" applyFill="1" applyBorder="1" applyAlignment="1" applyProtection="1">
      <alignment horizontal="right" vertical="center"/>
      <protection hidden="1"/>
    </xf>
    <xf numFmtId="0" fontId="0" fillId="33" borderId="4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Alignment="1" applyProtection="1">
      <alignment/>
      <protection hidden="1"/>
    </xf>
    <xf numFmtId="0" fontId="1" fillId="34" borderId="17" xfId="0" applyFont="1" applyFill="1" applyBorder="1" applyAlignment="1" applyProtection="1">
      <alignment vertical="center"/>
      <protection hidden="1" locked="0"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5" borderId="17" xfId="0" applyFont="1" applyFill="1" applyBorder="1" applyAlignment="1" applyProtection="1">
      <alignment horizontal="center" vertical="center"/>
      <protection hidden="1" locked="0"/>
    </xf>
    <xf numFmtId="0" fontId="1" fillId="35" borderId="0" xfId="0" applyFont="1" applyFill="1" applyAlignment="1" applyProtection="1">
      <alignment/>
      <protection hidden="1"/>
    </xf>
    <xf numFmtId="0" fontId="1" fillId="7" borderId="17" xfId="0" applyFont="1" applyFill="1" applyBorder="1" applyAlignment="1" applyProtection="1">
      <alignment horizontal="center" vertical="center"/>
      <protection hidden="1" locked="0"/>
    </xf>
    <xf numFmtId="0" fontId="1" fillId="7" borderId="19" xfId="0" applyFont="1" applyFill="1" applyBorder="1" applyAlignment="1" applyProtection="1">
      <alignment horizontal="center" vertical="center"/>
      <protection hidden="1" locked="0"/>
    </xf>
    <xf numFmtId="0" fontId="1" fillId="7" borderId="22" xfId="0" applyFont="1" applyFill="1" applyBorder="1" applyAlignment="1" applyProtection="1">
      <alignment horizontal="center" vertical="center"/>
      <protection hidden="1" locked="0"/>
    </xf>
    <xf numFmtId="0" fontId="0" fillId="7" borderId="0" xfId="0" applyFill="1" applyAlignment="1" applyProtection="1">
      <alignment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50" xfId="0" applyFont="1" applyBorder="1" applyAlignment="1" applyProtection="1">
      <alignment horizontal="center" vertical="center" wrapText="1"/>
      <protection hidden="1"/>
    </xf>
    <xf numFmtId="0" fontId="1" fillId="0" borderId="25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0" fontId="1" fillId="0" borderId="17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17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1" fillId="0" borderId="50" xfId="0" applyFont="1" applyBorder="1" applyAlignment="1" applyProtection="1">
      <alignment horizontal="right" vertical="center"/>
      <protection hidden="1"/>
    </xf>
    <xf numFmtId="0" fontId="1" fillId="0" borderId="51" xfId="0" applyFont="1" applyBorder="1" applyAlignment="1" applyProtection="1">
      <alignment horizontal="right" vertical="center"/>
      <protection hidden="1"/>
    </xf>
    <xf numFmtId="0" fontId="1" fillId="0" borderId="25" xfId="0" applyFont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48" xfId="0" applyFont="1" applyBorder="1" applyAlignment="1" applyProtection="1">
      <alignment horizontal="center" vertical="center" wrapText="1"/>
      <protection hidden="1" locked="0"/>
    </xf>
    <xf numFmtId="0" fontId="1" fillId="0" borderId="38" xfId="0" applyFont="1" applyBorder="1" applyAlignment="1" applyProtection="1">
      <alignment horizontal="center" vertical="center" wrapText="1"/>
      <protection hidden="1" locked="0"/>
    </xf>
    <xf numFmtId="0" fontId="11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56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44" xfId="0" applyFont="1" applyBorder="1" applyAlignment="1" applyProtection="1">
      <alignment horizontal="center" vertical="center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0" fontId="1" fillId="0" borderId="35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4" fillId="0" borderId="59" xfId="0" applyFont="1" applyBorder="1" applyAlignment="1" applyProtection="1">
      <alignment horizontal="center" vertical="center" textRotation="90" wrapText="1"/>
      <protection hidden="1"/>
    </xf>
    <xf numFmtId="0" fontId="1" fillId="0" borderId="60" xfId="0" applyFont="1" applyBorder="1" applyAlignment="1" applyProtection="1">
      <alignment horizontal="center" vertical="center"/>
      <protection hidden="1"/>
    </xf>
    <xf numFmtId="0" fontId="1" fillId="0" borderId="61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2" fillId="0" borderId="62" xfId="0" applyFont="1" applyBorder="1" applyAlignment="1" applyProtection="1">
      <alignment horizontal="center"/>
      <protection hidden="1" locked="0"/>
    </xf>
    <xf numFmtId="0" fontId="2" fillId="0" borderId="63" xfId="0" applyFont="1" applyBorder="1" applyAlignment="1" applyProtection="1">
      <alignment horizontal="center"/>
      <protection hidden="1" locked="0"/>
    </xf>
    <xf numFmtId="0" fontId="2" fillId="0" borderId="64" xfId="0" applyFont="1" applyBorder="1" applyAlignment="1" applyProtection="1">
      <alignment horizontal="center"/>
      <protection hidden="1" locked="0"/>
    </xf>
    <xf numFmtId="0" fontId="2" fillId="0" borderId="65" xfId="0" applyFont="1" applyBorder="1" applyAlignment="1" applyProtection="1">
      <alignment horizontal="center"/>
      <protection hidden="1"/>
    </xf>
    <xf numFmtId="0" fontId="2" fillId="0" borderId="61" xfId="0" applyFont="1" applyBorder="1" applyAlignment="1" applyProtection="1">
      <alignment horizontal="center"/>
      <protection hidden="1"/>
    </xf>
    <xf numFmtId="0" fontId="2" fillId="0" borderId="54" xfId="0" applyFont="1" applyBorder="1" applyAlignment="1" applyProtection="1">
      <alignment horizontal="center"/>
      <protection hidden="1"/>
    </xf>
    <xf numFmtId="0" fontId="1" fillId="0" borderId="57" xfId="0" applyFont="1" applyBorder="1" applyAlignment="1" applyProtection="1">
      <alignment horizontal="center" vertical="center" wrapText="1"/>
      <protection hidden="1"/>
    </xf>
    <xf numFmtId="0" fontId="1" fillId="0" borderId="58" xfId="0" applyFont="1" applyBorder="1" applyAlignment="1" applyProtection="1">
      <alignment horizontal="center" vertical="center" wrapText="1"/>
      <protection hidden="1"/>
    </xf>
    <xf numFmtId="0" fontId="1" fillId="0" borderId="66" xfId="0" applyFont="1" applyBorder="1" applyAlignment="1" applyProtection="1">
      <alignment horizontal="center" vertical="center" wrapText="1"/>
      <protection hidden="1"/>
    </xf>
    <xf numFmtId="0" fontId="2" fillId="0" borderId="59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0" borderId="67" xfId="0" applyFont="1" applyBorder="1" applyAlignment="1" applyProtection="1">
      <alignment horizontal="center"/>
      <protection hidden="1" locked="0"/>
    </xf>
    <xf numFmtId="0" fontId="1" fillId="33" borderId="47" xfId="0" applyFont="1" applyFill="1" applyBorder="1" applyAlignment="1" applyProtection="1">
      <alignment horizontal="center" vertical="center" wrapText="1"/>
      <protection hidden="1"/>
    </xf>
    <xf numFmtId="0" fontId="1" fillId="33" borderId="35" xfId="0" applyFont="1" applyFill="1" applyBorder="1" applyAlignment="1" applyProtection="1">
      <alignment horizontal="center" vertical="center" wrapText="1"/>
      <protection hidden="1"/>
    </xf>
    <xf numFmtId="0" fontId="1" fillId="33" borderId="15" xfId="0" applyFont="1" applyFill="1" applyBorder="1" applyAlignment="1" applyProtection="1">
      <alignment horizontal="center" vertical="center" wrapText="1"/>
      <protection hidden="1"/>
    </xf>
    <xf numFmtId="0" fontId="2" fillId="33" borderId="29" xfId="0" applyFont="1" applyFill="1" applyBorder="1" applyAlignment="1" applyProtection="1">
      <alignment horizontal="center" vertical="center"/>
      <protection hidden="1" locked="0"/>
    </xf>
    <xf numFmtId="0" fontId="2" fillId="33" borderId="36" xfId="0" applyFont="1" applyFill="1" applyBorder="1" applyAlignment="1" applyProtection="1">
      <alignment horizontal="center" vertical="center"/>
      <protection hidden="1" locked="0"/>
    </xf>
    <xf numFmtId="0" fontId="2" fillId="33" borderId="16" xfId="0" applyFont="1" applyFill="1" applyBorder="1" applyAlignment="1" applyProtection="1">
      <alignment horizontal="center" vertical="center"/>
      <protection hidden="1" locked="0"/>
    </xf>
    <xf numFmtId="0" fontId="1" fillId="33" borderId="68" xfId="0" applyFont="1" applyFill="1" applyBorder="1" applyAlignment="1" applyProtection="1">
      <alignment horizontal="center" vertical="center" wrapText="1"/>
      <protection hidden="1"/>
    </xf>
    <xf numFmtId="0" fontId="1" fillId="33" borderId="37" xfId="0" applyFont="1" applyFill="1" applyBorder="1" applyAlignment="1" applyProtection="1">
      <alignment horizontal="center" vertical="center" wrapText="1"/>
      <protection hidden="1"/>
    </xf>
    <xf numFmtId="0" fontId="1" fillId="33" borderId="69" xfId="0" applyFont="1" applyFill="1" applyBorder="1" applyAlignment="1" applyProtection="1">
      <alignment horizontal="center" vertical="center" wrapText="1"/>
      <protection hidden="1"/>
    </xf>
    <xf numFmtId="0" fontId="1" fillId="33" borderId="65" xfId="0" applyFont="1" applyFill="1" applyBorder="1" applyAlignment="1" applyProtection="1">
      <alignment horizontal="center" vertical="center" wrapText="1"/>
      <protection hidden="1" locked="0"/>
    </xf>
    <xf numFmtId="0" fontId="1" fillId="33" borderId="59" xfId="0" applyFont="1" applyFill="1" applyBorder="1" applyAlignment="1" applyProtection="1">
      <alignment horizontal="center" vertical="center" wrapText="1"/>
      <protection hidden="1" locked="0"/>
    </xf>
    <xf numFmtId="0" fontId="1" fillId="33" borderId="62" xfId="0" applyFont="1" applyFill="1" applyBorder="1" applyAlignment="1" applyProtection="1">
      <alignment horizontal="center" vertical="center" wrapText="1"/>
      <protection hidden="1" locked="0"/>
    </xf>
    <xf numFmtId="0" fontId="1" fillId="33" borderId="47" xfId="0" applyFont="1" applyFill="1" applyBorder="1" applyAlignment="1" applyProtection="1">
      <alignment horizontal="center" vertical="center"/>
      <protection hidden="1"/>
    </xf>
    <xf numFmtId="0" fontId="1" fillId="33" borderId="35" xfId="0" applyFont="1" applyFill="1" applyBorder="1" applyAlignment="1" applyProtection="1">
      <alignment horizontal="center" vertical="center"/>
      <protection hidden="1"/>
    </xf>
    <xf numFmtId="0" fontId="1" fillId="33" borderId="15" xfId="0" applyFont="1" applyFill="1" applyBorder="1" applyAlignment="1" applyProtection="1">
      <alignment horizontal="center" vertical="center"/>
      <protection hidden="1"/>
    </xf>
    <xf numFmtId="0" fontId="2" fillId="33" borderId="28" xfId="0" applyFont="1" applyFill="1" applyBorder="1" applyAlignment="1" applyProtection="1">
      <alignment horizontal="center" vertical="center"/>
      <protection hidden="1" locked="0"/>
    </xf>
    <xf numFmtId="0" fontId="2" fillId="33" borderId="70" xfId="0" applyFont="1" applyFill="1" applyBorder="1" applyAlignment="1" applyProtection="1">
      <alignment horizontal="center" vertical="center"/>
      <protection hidden="1" locked="0"/>
    </xf>
    <xf numFmtId="0" fontId="1" fillId="36" borderId="65" xfId="0" applyFont="1" applyFill="1" applyBorder="1" applyAlignment="1" applyProtection="1">
      <alignment horizontal="center" vertical="center" wrapText="1"/>
      <protection hidden="1" locked="0"/>
    </xf>
    <xf numFmtId="0" fontId="1" fillId="36" borderId="59" xfId="0" applyFont="1" applyFill="1" applyBorder="1" applyAlignment="1" applyProtection="1">
      <alignment horizontal="center" vertical="center" wrapText="1"/>
      <protection hidden="1" locked="0"/>
    </xf>
    <xf numFmtId="0" fontId="1" fillId="36" borderId="62" xfId="0" applyFont="1" applyFill="1" applyBorder="1" applyAlignment="1" applyProtection="1">
      <alignment horizontal="center" vertical="center" wrapText="1"/>
      <protection hidden="1" locked="0"/>
    </xf>
    <xf numFmtId="0" fontId="1" fillId="37" borderId="65" xfId="0" applyFont="1" applyFill="1" applyBorder="1" applyAlignment="1" applyProtection="1">
      <alignment horizontal="center" vertical="center" wrapText="1"/>
      <protection hidden="1" locked="0"/>
    </xf>
    <xf numFmtId="0" fontId="1" fillId="37" borderId="59" xfId="0" applyFont="1" applyFill="1" applyBorder="1" applyAlignment="1" applyProtection="1">
      <alignment horizontal="center" vertical="center" wrapText="1"/>
      <protection hidden="1" locked="0"/>
    </xf>
    <xf numFmtId="0" fontId="1" fillId="37" borderId="62" xfId="0" applyFont="1" applyFill="1" applyBorder="1" applyAlignment="1" applyProtection="1">
      <alignment horizontal="center" vertical="center" wrapText="1"/>
      <protection hidden="1" locked="0"/>
    </xf>
    <xf numFmtId="0" fontId="10" fillId="0" borderId="63" xfId="0" applyFont="1" applyBorder="1" applyAlignment="1">
      <alignment horizontal="center"/>
    </xf>
    <xf numFmtId="0" fontId="1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>
      <alignment/>
    </xf>
    <xf numFmtId="0" fontId="1" fillId="0" borderId="50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0" borderId="41" xfId="0" applyFont="1" applyBorder="1" applyAlignment="1" applyProtection="1">
      <alignment horizontal="center" vertical="center"/>
      <protection hidden="1"/>
    </xf>
    <xf numFmtId="0" fontId="1" fillId="0" borderId="48" xfId="0" applyFont="1" applyBorder="1" applyAlignment="1" applyProtection="1">
      <alignment horizontal="center" vertical="center"/>
      <protection hidden="1"/>
    </xf>
    <xf numFmtId="0" fontId="0" fillId="0" borderId="38" xfId="0" applyBorder="1" applyAlignment="1">
      <alignment/>
    </xf>
    <xf numFmtId="0" fontId="1" fillId="0" borderId="28" xfId="0" applyFont="1" applyBorder="1" applyAlignment="1" applyProtection="1">
      <alignment horizontal="center" vertical="center"/>
      <protection hidden="1"/>
    </xf>
    <xf numFmtId="0" fontId="0" fillId="0" borderId="36" xfId="0" applyBorder="1" applyAlignment="1">
      <alignment/>
    </xf>
    <xf numFmtId="0" fontId="1" fillId="38" borderId="65" xfId="0" applyFont="1" applyFill="1" applyBorder="1" applyAlignment="1" applyProtection="1">
      <alignment horizontal="center" vertical="center" wrapText="1"/>
      <protection hidden="1" locked="0"/>
    </xf>
    <xf numFmtId="0" fontId="1" fillId="38" borderId="59" xfId="0" applyFont="1" applyFill="1" applyBorder="1" applyAlignment="1" applyProtection="1">
      <alignment horizontal="center" vertical="center" wrapText="1"/>
      <protection hidden="1" locked="0"/>
    </xf>
    <xf numFmtId="0" fontId="1" fillId="38" borderId="62" xfId="0" applyFont="1" applyFill="1" applyBorder="1" applyAlignment="1" applyProtection="1">
      <alignment horizontal="center" vertical="center" wrapTex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&#253;sled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kladní list"/>
      <sheetName val="Výsledková listina"/>
      <sheetName val="1. závod"/>
      <sheetName val="2. závod"/>
      <sheetName val="Graf "/>
      <sheetName val="Závod družstev"/>
    </sheetNames>
    <sheetDataSet>
      <sheetData sheetId="0">
        <row r="16">
          <cell r="A16" t="str">
            <v>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zoomScaleSheetLayoutView="100" zoomScalePageLayoutView="0" workbookViewId="0" topLeftCell="A7">
      <selection activeCell="K23" sqref="K23"/>
    </sheetView>
  </sheetViews>
  <sheetFormatPr defaultColWidth="9.00390625" defaultRowHeight="12.75" outlineLevelRow="1"/>
  <cols>
    <col min="1" max="1" width="9.125" style="12" bestFit="1" customWidth="1"/>
    <col min="2" max="2" width="11.25390625" style="12" hidden="1" customWidth="1"/>
    <col min="3" max="3" width="6.25390625" style="12" bestFit="1" customWidth="1"/>
    <col min="4" max="4" width="6.75390625" style="12" customWidth="1"/>
    <col min="5" max="6" width="9.125" style="12" customWidth="1"/>
    <col min="7" max="7" width="6.125" style="12" customWidth="1"/>
    <col min="8" max="8" width="0.12890625" style="12" customWidth="1"/>
    <col min="9" max="9" width="10.875" style="0" bestFit="1" customWidth="1"/>
    <col min="10" max="10" width="10.25390625" style="0" customWidth="1"/>
    <col min="11" max="11" width="10.875" style="0" bestFit="1" customWidth="1"/>
    <col min="12" max="12" width="9.25390625" style="0" bestFit="1" customWidth="1"/>
    <col min="13" max="13" width="10.875" style="0" bestFit="1" customWidth="1"/>
    <col min="14" max="14" width="9.25390625" style="0" bestFit="1" customWidth="1"/>
  </cols>
  <sheetData>
    <row r="1" spans="1:14" ht="12.75">
      <c r="A1" s="170" t="s">
        <v>32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3:5" ht="12.75">
      <c r="C2" s="171" t="s">
        <v>10</v>
      </c>
      <c r="D2" s="171"/>
      <c r="E2" s="50" t="s">
        <v>68</v>
      </c>
    </row>
    <row r="3" spans="3:5" ht="15.75">
      <c r="C3" s="171" t="s">
        <v>11</v>
      </c>
      <c r="D3" s="171"/>
      <c r="E3" s="51" t="s">
        <v>69</v>
      </c>
    </row>
    <row r="4" spans="3:5" ht="12.75">
      <c r="C4" s="171" t="s">
        <v>33</v>
      </c>
      <c r="D4" s="171"/>
      <c r="E4" s="82" t="s">
        <v>70</v>
      </c>
    </row>
    <row r="5" spans="3:5" ht="15.75">
      <c r="C5" s="171" t="s">
        <v>65</v>
      </c>
      <c r="D5" s="171"/>
      <c r="E5" s="81"/>
    </row>
    <row r="6" spans="3:5" ht="15.75">
      <c r="C6" s="171" t="s">
        <v>34</v>
      </c>
      <c r="D6" s="171"/>
      <c r="E6" s="59" t="s">
        <v>71</v>
      </c>
    </row>
    <row r="7" spans="2:5" ht="12.75">
      <c r="B7" s="11"/>
      <c r="C7" s="173"/>
      <c r="D7" s="173"/>
      <c r="E7" s="173"/>
    </row>
    <row r="8" spans="1:14" ht="12.75" customHeight="1">
      <c r="A8" s="165" t="s">
        <v>29</v>
      </c>
      <c r="B8" s="165" t="s">
        <v>31</v>
      </c>
      <c r="C8" s="166" t="s">
        <v>35</v>
      </c>
      <c r="D8" s="167"/>
      <c r="E8" s="165" t="s">
        <v>38</v>
      </c>
      <c r="F8" s="165"/>
      <c r="G8" s="165"/>
      <c r="H8" s="165"/>
      <c r="I8" s="169" t="s">
        <v>39</v>
      </c>
      <c r="J8" s="169"/>
      <c r="K8" s="169" t="s">
        <v>40</v>
      </c>
      <c r="L8" s="169"/>
      <c r="M8" s="169" t="s">
        <v>45</v>
      </c>
      <c r="N8" s="169"/>
    </row>
    <row r="9" spans="1:14" s="43" customFormat="1" ht="25.5">
      <c r="A9" s="165"/>
      <c r="B9" s="165"/>
      <c r="C9" s="44" t="s">
        <v>48</v>
      </c>
      <c r="D9" s="44" t="s">
        <v>49</v>
      </c>
      <c r="E9" s="165"/>
      <c r="F9" s="165"/>
      <c r="G9" s="165"/>
      <c r="H9" s="165"/>
      <c r="I9" s="44" t="s">
        <v>41</v>
      </c>
      <c r="J9" s="44" t="s">
        <v>42</v>
      </c>
      <c r="K9" s="44" t="s">
        <v>44</v>
      </c>
      <c r="L9" s="44" t="s">
        <v>43</v>
      </c>
      <c r="M9" s="44" t="s">
        <v>44</v>
      </c>
      <c r="N9" s="44" t="s">
        <v>43</v>
      </c>
    </row>
    <row r="10" spans="1:14" s="43" customFormat="1" ht="15.75">
      <c r="A10" s="168" t="s">
        <v>36</v>
      </c>
      <c r="B10" s="168"/>
      <c r="C10" s="68">
        <f>SUM(C11:C16)</f>
        <v>60</v>
      </c>
      <c r="D10" s="68">
        <f>SUM(D11:D16)</f>
        <v>60</v>
      </c>
      <c r="E10" s="174"/>
      <c r="F10" s="175"/>
      <c r="G10" s="175"/>
      <c r="H10" s="176"/>
      <c r="I10" s="47">
        <f>SUM(I11:I16)</f>
        <v>24020</v>
      </c>
      <c r="J10" s="48">
        <f>IF(I10&gt;0,I10/$C10,"")</f>
        <v>400.3333333333333</v>
      </c>
      <c r="K10" s="48">
        <f>SUM(K11:K16)</f>
        <v>10540</v>
      </c>
      <c r="L10" s="48">
        <f>IF(K10&gt;0,K10/$D10,"")</f>
        <v>175.66666666666666</v>
      </c>
      <c r="M10" s="48">
        <f>SUM(M11:M16)</f>
        <v>34560</v>
      </c>
      <c r="N10" s="48">
        <f>IF(M10&gt;0,M10/(SUM(C10:D10)),"")</f>
        <v>288</v>
      </c>
    </row>
    <row r="11" spans="1:14" ht="15.75">
      <c r="A11" s="46" t="s">
        <v>19</v>
      </c>
      <c r="B11" s="45">
        <v>3</v>
      </c>
      <c r="C11" s="69">
        <f>IF(ISBLANK($A11),"",COUNTA('1. závod'!$C$4:$C$13))</f>
        <v>10</v>
      </c>
      <c r="D11" s="69">
        <f>IF(ISBLANK($A11),"",COUNTA('2. závod'!$C$4:$C$13))</f>
        <v>10</v>
      </c>
      <c r="E11" s="165"/>
      <c r="F11" s="165"/>
      <c r="G11" s="165"/>
      <c r="H11" s="165"/>
      <c r="I11" s="49">
        <f>SUM('1. závod'!C:C)</f>
        <v>6580</v>
      </c>
      <c r="J11" s="48">
        <f aca="true" t="shared" si="0" ref="J11:J16">IF(I11&gt;0,I11/$C11,"")</f>
        <v>658</v>
      </c>
      <c r="K11" s="49">
        <f>SUM('2. závod'!C:C)</f>
        <v>3160</v>
      </c>
      <c r="L11" s="48">
        <f>IF(K11&gt;0,K11/$D11,"")</f>
        <v>316</v>
      </c>
      <c r="M11" s="49">
        <f>SUM(I11,K11)</f>
        <v>9740</v>
      </c>
      <c r="N11" s="48">
        <f>IF(M11&gt;0,M11/(SUM(C11:D11)),"")</f>
        <v>487</v>
      </c>
    </row>
    <row r="12" spans="1:14" ht="15.75">
      <c r="A12" s="46" t="s">
        <v>23</v>
      </c>
      <c r="B12" s="45">
        <f>IF(ISBLANK(A12),"",B11+5)</f>
        <v>8</v>
      </c>
      <c r="C12" s="69">
        <f>IF(ISBLANK($A12),"",COUNTA('1. závod'!$H$4:$H$13))</f>
        <v>10</v>
      </c>
      <c r="D12" s="69">
        <f>IF(ISBLANK($A12),"",COUNTA('2. závod'!$H$4:$H$13))</f>
        <v>10</v>
      </c>
      <c r="E12" s="165"/>
      <c r="F12" s="165"/>
      <c r="G12" s="165"/>
      <c r="H12" s="165"/>
      <c r="I12" s="49">
        <f>SUM('1. závod'!H:H)</f>
        <v>780</v>
      </c>
      <c r="J12" s="48">
        <f t="shared" si="0"/>
        <v>78</v>
      </c>
      <c r="K12" s="49">
        <f>SUM('2. závod'!H:H)</f>
        <v>0</v>
      </c>
      <c r="L12" s="48">
        <v>0</v>
      </c>
      <c r="M12" s="49">
        <f>SUM(I12,K12)</f>
        <v>780</v>
      </c>
      <c r="N12" s="48">
        <f>IF(M12&gt;0,M12/(SUM(C12:D12)),"")</f>
        <v>39</v>
      </c>
    </row>
    <row r="13" spans="1:14" ht="15.75">
      <c r="A13" s="46" t="s">
        <v>22</v>
      </c>
      <c r="B13" s="45">
        <f>IF(ISBLANK(A13),"",B12+5)</f>
        <v>13</v>
      </c>
      <c r="C13" s="69">
        <f>IF(ISBLANK($A13),"",COUNTA('1. závod'!$M$4:$M$13))</f>
        <v>10</v>
      </c>
      <c r="D13" s="69">
        <f>IF(ISBLANK($A13),"",COUNTA('2. závod'!$M$4:$M$13))</f>
        <v>10</v>
      </c>
      <c r="E13" s="165"/>
      <c r="F13" s="165"/>
      <c r="G13" s="165"/>
      <c r="H13" s="165"/>
      <c r="I13" s="49">
        <f>SUM('1. závod'!M:M)</f>
        <v>4080</v>
      </c>
      <c r="J13" s="48">
        <f t="shared" si="0"/>
        <v>408</v>
      </c>
      <c r="K13" s="49">
        <f>SUM('2. závod'!M:M)</f>
        <v>1780</v>
      </c>
      <c r="L13" s="48">
        <f>IF(K13&gt;0,K13/$D13,"")</f>
        <v>178</v>
      </c>
      <c r="M13" s="49">
        <f>SUM(I13,K13)</f>
        <v>5860</v>
      </c>
      <c r="N13" s="48">
        <f>IF(M13&gt;0,M13/(SUM(C13:D13)),"")</f>
        <v>293</v>
      </c>
    </row>
    <row r="14" spans="1:14" ht="15.75">
      <c r="A14" s="46" t="s">
        <v>20</v>
      </c>
      <c r="B14" s="45">
        <f>IF(ISBLANK(A14),"",B13+5)</f>
        <v>18</v>
      </c>
      <c r="C14" s="69">
        <f>IF(ISBLANK($A14),"",COUNTA('1. závod'!$R$4:$R$13))</f>
        <v>10</v>
      </c>
      <c r="D14" s="69">
        <f>IF(ISBLANK($A14),"",COUNTA('2. závod'!$R$4:$R$13))</f>
        <v>10</v>
      </c>
      <c r="E14" s="165"/>
      <c r="F14" s="165"/>
      <c r="G14" s="165"/>
      <c r="H14" s="165"/>
      <c r="I14" s="49">
        <f>SUM('1. závod'!R:R)</f>
        <v>5060</v>
      </c>
      <c r="J14" s="48">
        <f t="shared" si="0"/>
        <v>506</v>
      </c>
      <c r="K14" s="49">
        <f>SUM('2. závod'!R:R)</f>
        <v>380</v>
      </c>
      <c r="L14" s="48">
        <f>IF(K14&gt;0,K14/$D14,"")</f>
        <v>38</v>
      </c>
      <c r="M14" s="49">
        <f>SUM(I14,K14)</f>
        <v>5440</v>
      </c>
      <c r="N14" s="48">
        <f>IF(M14&gt;0,M14/(SUM(C14:D14)),"")</f>
        <v>272</v>
      </c>
    </row>
    <row r="15" spans="1:14" ht="15.75" outlineLevel="1">
      <c r="A15" s="46" t="s">
        <v>21</v>
      </c>
      <c r="B15" s="45">
        <f>IF(ISBLANK(A15),"",B14+5)</f>
        <v>23</v>
      </c>
      <c r="C15" s="69">
        <f>IF(ISBLANK($A15),"",COUNTA('1. závod'!$W$4:$W$13))</f>
        <v>10</v>
      </c>
      <c r="D15" s="69">
        <f>IF(ISBLANK($A15),"",COUNTA('2. závod'!$W$4:$W$13))</f>
        <v>10</v>
      </c>
      <c r="E15" s="174"/>
      <c r="F15" s="175"/>
      <c r="G15" s="175"/>
      <c r="H15" s="176"/>
      <c r="I15" s="49">
        <f>SUM('1. závod'!W:W)</f>
        <v>1080</v>
      </c>
      <c r="J15" s="48">
        <f t="shared" si="0"/>
        <v>108</v>
      </c>
      <c r="K15" s="49">
        <f>SUM('2. závod'!W:W)</f>
        <v>940</v>
      </c>
      <c r="L15" s="48">
        <f>IF(K15&gt;0,K15/$D15,"")</f>
        <v>94</v>
      </c>
      <c r="M15" s="49">
        <f>SUM(I15,K15)</f>
        <v>2020</v>
      </c>
      <c r="N15" s="48">
        <f>IF(M15&gt;0,M15/(SUM(C15:D15)),"")</f>
        <v>101</v>
      </c>
    </row>
    <row r="16" spans="1:14" ht="15.75" outlineLevel="1">
      <c r="A16" s="46" t="s">
        <v>24</v>
      </c>
      <c r="B16" s="45">
        <f>IF(ISBLANK(A16),"",B15+5)</f>
        <v>28</v>
      </c>
      <c r="C16" s="69">
        <f>IF(ISBLANK($A16),"",COUNTA('1. závod'!$AB$4:$AB$13))</f>
        <v>10</v>
      </c>
      <c r="D16" s="69">
        <f>IF(ISBLANK($A16),"",COUNTA('2. závod'!$AB$4:$AB$13))</f>
        <v>10</v>
      </c>
      <c r="E16" s="165"/>
      <c r="F16" s="165"/>
      <c r="G16" s="165"/>
      <c r="H16" s="165"/>
      <c r="I16" s="49">
        <f>SUM('1. závod'!AB:AB)</f>
        <v>6440</v>
      </c>
      <c r="J16" s="48">
        <f t="shared" si="0"/>
        <v>644</v>
      </c>
      <c r="K16" s="49">
        <f>SUM('2. závod'!AB:AB)</f>
        <v>4280</v>
      </c>
      <c r="L16" s="48">
        <f>IF(K16&gt;0,K16/$D16,"")</f>
        <v>428</v>
      </c>
      <c r="M16" s="49">
        <f>SUM(I16,K16)</f>
        <v>10720</v>
      </c>
      <c r="N16" s="48">
        <f>IF(M16&gt;0,M16/(SUM(C16:D16)),"")</f>
        <v>536</v>
      </c>
    </row>
    <row r="17" spans="4:11" ht="15.75">
      <c r="D17" s="172" t="s">
        <v>46</v>
      </c>
      <c r="E17" s="172"/>
      <c r="F17" s="172"/>
      <c r="G17" s="172"/>
      <c r="H17" s="172"/>
      <c r="I17" s="70">
        <f>MAX('Výsledková listina'!H10:H60)</f>
        <v>3460</v>
      </c>
      <c r="J17" s="71"/>
      <c r="K17" s="70">
        <f>MAX('Výsledková listina'!L10:L60)</f>
        <v>2060</v>
      </c>
    </row>
    <row r="19" spans="5:9" ht="12.75">
      <c r="E19" s="12" t="s">
        <v>62</v>
      </c>
      <c r="I19">
        <f>COUNTIF('Výsledková listina'!$C:$C,"m")</f>
        <v>60</v>
      </c>
    </row>
    <row r="20" spans="5:9" ht="12.75">
      <c r="E20" s="12" t="s">
        <v>58</v>
      </c>
      <c r="I20">
        <f>COUNTIF('Výsledková listina'!$C:$C,"J")+COUNTIF('Výsledková listina'!$C:$C,"jž")</f>
        <v>0</v>
      </c>
    </row>
    <row r="21" spans="5:9" ht="12.75">
      <c r="E21" s="12" t="s">
        <v>59</v>
      </c>
      <c r="I21">
        <f>COUNTIF('Výsledková listina'!$C:$C,"KŽ")+COUNTIF('Výsledková listina'!$C:$C,"k")</f>
        <v>0</v>
      </c>
    </row>
    <row r="22" spans="5:9" ht="12.75">
      <c r="E22" s="12" t="s">
        <v>60</v>
      </c>
      <c r="I22">
        <f>COUNTIF('Výsledková listina'!$C:$C,"Ž")+COUNTIF('Výsledková listina'!$C:$C,"JŽ")+COUNTIF('Výsledková listina'!$C:$C,"KŽ")</f>
        <v>0</v>
      </c>
    </row>
    <row r="23" spans="5:9" ht="12.75">
      <c r="E23" s="12" t="s">
        <v>61</v>
      </c>
      <c r="I23">
        <f>COUNTIF('Výsledková listina'!$C:$C,"H")</f>
        <v>0</v>
      </c>
    </row>
    <row r="27" spans="1:4" ht="12.75">
      <c r="A27" s="155"/>
      <c r="D27" s="12" t="s">
        <v>181</v>
      </c>
    </row>
    <row r="28" spans="1:4" ht="12.75">
      <c r="A28" s="160"/>
      <c r="D28" s="12" t="s">
        <v>182</v>
      </c>
    </row>
    <row r="29" spans="1:4" ht="12.75">
      <c r="A29" s="164"/>
      <c r="D29" s="12" t="s">
        <v>183</v>
      </c>
    </row>
    <row r="31" ht="11.25" customHeight="1"/>
    <row r="34" ht="12.75">
      <c r="A34" s="85"/>
    </row>
    <row r="35" ht="12.75">
      <c r="A35" s="87"/>
    </row>
    <row r="40" ht="12.75">
      <c r="A40" s="85"/>
    </row>
    <row r="46" ht="12.75">
      <c r="A46" s="85"/>
    </row>
  </sheetData>
  <sheetProtection/>
  <mergeCells count="23">
    <mergeCell ref="D17:H17"/>
    <mergeCell ref="C7:E7"/>
    <mergeCell ref="E13:H13"/>
    <mergeCell ref="E14:H14"/>
    <mergeCell ref="E15:H15"/>
    <mergeCell ref="E16:H16"/>
    <mergeCell ref="E10:H10"/>
    <mergeCell ref="E11:H11"/>
    <mergeCell ref="A1:N1"/>
    <mergeCell ref="C2:D2"/>
    <mergeCell ref="C3:D3"/>
    <mergeCell ref="C4:D4"/>
    <mergeCell ref="C5:D5"/>
    <mergeCell ref="C6:D6"/>
    <mergeCell ref="A8:A9"/>
    <mergeCell ref="B8:B9"/>
    <mergeCell ref="C8:D8"/>
    <mergeCell ref="E12:H12"/>
    <mergeCell ref="A10:B10"/>
    <mergeCell ref="M8:N8"/>
    <mergeCell ref="I8:J8"/>
    <mergeCell ref="K8:L8"/>
    <mergeCell ref="E8:H9"/>
  </mergeCells>
  <printOptions horizontalCentered="1"/>
  <pageMargins left="0.35433070866141736" right="0.35433070866141736" top="0.64" bottom="0.68" header="0.38" footer="0.33"/>
  <pageSetup fitToHeight="1" fitToWidth="1" horizontalDpi="300" verticalDpi="300" orientation="landscape" paperSize="9" scale="70" r:id="rId1"/>
  <headerFooter alignWithMargins="0">
    <oddFooter>&amp;CStránka &amp;P z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showGridLines="0" view="pageBreakPreview" zoomScaleNormal="75" zoomScaleSheetLayoutView="100" zoomScalePageLayoutView="0" workbookViewId="0" topLeftCell="A1">
      <pane xSplit="4" ySplit="8" topLeftCell="E60" activePane="bottomRight" state="frozen"/>
      <selection pane="topLeft" activeCell="A3" sqref="A3"/>
      <selection pane="topRight" activeCell="A3" sqref="A3"/>
      <selection pane="bottomLeft" activeCell="A3" sqref="A3"/>
      <selection pane="bottomRight" activeCell="F63" sqref="F63"/>
    </sheetView>
  </sheetViews>
  <sheetFormatPr defaultColWidth="9.00390625" defaultRowHeight="12.75" outlineLevelCol="1"/>
  <cols>
    <col min="1" max="1" width="4.125" style="12" bestFit="1" customWidth="1"/>
    <col min="2" max="2" width="22.375" style="22" bestFit="1" customWidth="1"/>
    <col min="3" max="3" width="5.125" style="12" customWidth="1"/>
    <col min="4" max="4" width="32.625" style="12" bestFit="1" customWidth="1"/>
    <col min="5" max="5" width="5.375" style="12" customWidth="1" outlineLevel="1"/>
    <col min="6" max="6" width="3.625" style="12" customWidth="1"/>
    <col min="7" max="7" width="3.875" style="12" customWidth="1"/>
    <col min="8" max="8" width="9.125" style="23" customWidth="1"/>
    <col min="9" max="9" width="5.125" style="12" customWidth="1"/>
    <col min="10" max="10" width="4.00390625" style="12" customWidth="1" outlineLevel="1"/>
    <col min="11" max="11" width="3.875" style="12" customWidth="1" outlineLevel="1"/>
    <col min="12" max="12" width="9.125" style="23" customWidth="1" outlineLevel="1"/>
    <col min="13" max="13" width="5.125" style="12" customWidth="1" outlineLevel="1"/>
    <col min="14" max="14" width="9.125" style="23" customWidth="1" outlineLevel="1"/>
    <col min="15" max="15" width="5.125" style="12" customWidth="1" outlineLevel="1"/>
    <col min="16" max="16" width="6.375" style="12" customWidth="1" outlineLevel="1"/>
    <col min="17" max="18" width="5.75390625" style="36" hidden="1" customWidth="1"/>
    <col min="19" max="19" width="5.75390625" style="36" customWidth="1"/>
    <col min="20" max="16384" width="9.125" style="12" customWidth="1"/>
  </cols>
  <sheetData>
    <row r="1" spans="1:16" ht="18">
      <c r="A1" s="177" t="s">
        <v>64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2:19" s="14" customFormat="1" ht="15" customHeight="1">
      <c r="B2" s="183" t="str">
        <f>CONCATENATE("Místo konání: ",'Základní list'!E2)</f>
        <v>Místo konání: Všenory Berounka</v>
      </c>
      <c r="C2" s="183"/>
      <c r="D2" s="183"/>
      <c r="E2" s="183"/>
      <c r="F2" s="183"/>
      <c r="G2" s="183"/>
      <c r="H2" s="183"/>
      <c r="I2" s="183"/>
      <c r="J2" s="186"/>
      <c r="K2" s="186"/>
      <c r="L2" s="186"/>
      <c r="M2" s="186"/>
      <c r="N2" s="186"/>
      <c r="O2" s="186"/>
      <c r="P2" s="186"/>
      <c r="Q2" s="36"/>
      <c r="R2" s="36"/>
      <c r="S2" s="36"/>
    </row>
    <row r="3" spans="1:19" s="14" customFormat="1" ht="15">
      <c r="A3" s="15"/>
      <c r="B3" s="184" t="str">
        <f>CONCATENATE("Druh závodu: ",'Základní list'!E3)</f>
        <v>Druh závodu: 1.kolo - I.liga</v>
      </c>
      <c r="C3" s="184"/>
      <c r="D3" s="184"/>
      <c r="E3" s="184"/>
      <c r="F3" s="184"/>
      <c r="G3" s="184"/>
      <c r="H3" s="184"/>
      <c r="I3" s="184"/>
      <c r="J3" s="186" t="str">
        <f>CONCATENATE("Hl. rozhodčí: ",'Základní list'!E6)</f>
        <v>Hl. rozhodčí: Radana Srbová</v>
      </c>
      <c r="K3" s="186"/>
      <c r="L3" s="186"/>
      <c r="M3" s="186"/>
      <c r="N3" s="186"/>
      <c r="O3" s="186"/>
      <c r="P3" s="186"/>
      <c r="Q3" s="36"/>
      <c r="R3" s="36"/>
      <c r="S3" s="36"/>
    </row>
    <row r="4" spans="1:19" s="14" customFormat="1" ht="12.75">
      <c r="A4" s="15"/>
      <c r="B4" s="187" t="str">
        <f>CONCATENATE("Datum: ",'Základní list'!E4)</f>
        <v>Datum: 22.-23.5.2010</v>
      </c>
      <c r="C4" s="187"/>
      <c r="D4" s="187"/>
      <c r="E4" s="187"/>
      <c r="F4" s="187"/>
      <c r="G4" s="187"/>
      <c r="H4" s="187"/>
      <c r="I4" s="187"/>
      <c r="J4" s="106" t="s">
        <v>66</v>
      </c>
      <c r="K4" s="15"/>
      <c r="L4" s="106" t="s">
        <v>72</v>
      </c>
      <c r="M4" s="15"/>
      <c r="N4" s="10"/>
      <c r="O4" s="15"/>
      <c r="P4" s="15"/>
      <c r="Q4" s="36"/>
      <c r="R4" s="36"/>
      <c r="S4" s="36"/>
    </row>
    <row r="5" spans="1:19" s="14" customFormat="1" ht="3.75" customHeight="1" thickBot="1">
      <c r="A5" s="15"/>
      <c r="B5" s="83"/>
      <c r="C5" s="83"/>
      <c r="D5" s="83"/>
      <c r="E5" s="83"/>
      <c r="F5" s="83"/>
      <c r="G5" s="83"/>
      <c r="H5" s="83"/>
      <c r="I5" s="83"/>
      <c r="J5" s="15"/>
      <c r="K5" s="15"/>
      <c r="L5" s="10"/>
      <c r="M5" s="15"/>
      <c r="N5" s="10"/>
      <c r="O5" s="15"/>
      <c r="P5" s="15"/>
      <c r="Q5" s="36"/>
      <c r="R5" s="36"/>
      <c r="S5" s="36"/>
    </row>
    <row r="6" spans="1:19" s="16" customFormat="1" ht="12.75" customHeight="1" thickBot="1">
      <c r="A6" s="181" t="s">
        <v>47</v>
      </c>
      <c r="B6" s="201" t="s">
        <v>17</v>
      </c>
      <c r="C6" s="202"/>
      <c r="D6" s="202"/>
      <c r="E6" s="180"/>
      <c r="F6" s="178" t="s">
        <v>0</v>
      </c>
      <c r="G6" s="179"/>
      <c r="H6" s="179"/>
      <c r="I6" s="185"/>
      <c r="J6" s="178" t="s">
        <v>1</v>
      </c>
      <c r="K6" s="179"/>
      <c r="L6" s="179"/>
      <c r="M6" s="185"/>
      <c r="N6" s="178" t="s">
        <v>2</v>
      </c>
      <c r="O6" s="179"/>
      <c r="P6" s="180"/>
      <c r="Q6" s="200" t="s">
        <v>25</v>
      </c>
      <c r="R6" s="197" t="s">
        <v>26</v>
      </c>
      <c r="S6" s="84"/>
    </row>
    <row r="7" spans="1:19" s="16" customFormat="1" ht="12.75" customHeight="1">
      <c r="A7" s="182"/>
      <c r="B7" s="203"/>
      <c r="C7" s="204"/>
      <c r="D7" s="204"/>
      <c r="E7" s="205"/>
      <c r="F7" s="189" t="s">
        <v>3</v>
      </c>
      <c r="G7" s="190"/>
      <c r="H7" s="195" t="s">
        <v>4</v>
      </c>
      <c r="I7" s="193" t="s">
        <v>5</v>
      </c>
      <c r="J7" s="189" t="str">
        <f>F7</f>
        <v>Sektor</v>
      </c>
      <c r="K7" s="190"/>
      <c r="L7" s="195" t="str">
        <f>H7</f>
        <v>CIPS</v>
      </c>
      <c r="M7" s="193" t="str">
        <f>I7</f>
        <v>Poř</v>
      </c>
      <c r="N7" s="191" t="str">
        <f>L7</f>
        <v>CIPS</v>
      </c>
      <c r="O7" s="193" t="s">
        <v>6</v>
      </c>
      <c r="P7" s="198" t="str">
        <f>M7</f>
        <v>Poř</v>
      </c>
      <c r="Q7" s="200"/>
      <c r="R7" s="197"/>
      <c r="S7" s="84"/>
    </row>
    <row r="8" spans="1:19" s="16" customFormat="1" ht="13.5" customHeight="1">
      <c r="A8" s="182"/>
      <c r="B8" s="125" t="s">
        <v>37</v>
      </c>
      <c r="C8" s="111" t="s">
        <v>7</v>
      </c>
      <c r="D8" s="112" t="s">
        <v>67</v>
      </c>
      <c r="E8" s="126" t="s">
        <v>52</v>
      </c>
      <c r="F8" s="113" t="s">
        <v>9</v>
      </c>
      <c r="G8" s="111" t="s">
        <v>8</v>
      </c>
      <c r="H8" s="196"/>
      <c r="I8" s="194"/>
      <c r="J8" s="113" t="str">
        <f>F8</f>
        <v>sk</v>
      </c>
      <c r="K8" s="111" t="str">
        <f>G8</f>
        <v>čís</v>
      </c>
      <c r="L8" s="196"/>
      <c r="M8" s="194"/>
      <c r="N8" s="192"/>
      <c r="O8" s="194"/>
      <c r="P8" s="199"/>
      <c r="Q8" s="200"/>
      <c r="R8" s="197"/>
      <c r="S8" s="84" t="s">
        <v>57</v>
      </c>
    </row>
    <row r="9" spans="1:19" ht="21" customHeight="1">
      <c r="A9" s="92">
        <v>1</v>
      </c>
      <c r="B9" s="104" t="s">
        <v>105</v>
      </c>
      <c r="C9" s="92" t="s">
        <v>50</v>
      </c>
      <c r="D9" s="127" t="s">
        <v>103</v>
      </c>
      <c r="E9" s="128">
        <v>2302</v>
      </c>
      <c r="F9" s="161" t="s">
        <v>22</v>
      </c>
      <c r="G9" s="92">
        <v>9</v>
      </c>
      <c r="H9" s="99">
        <f>IF($G9="","",INDEX('1. závod'!$A:$AN,$G9+3,INDEX('Základní list'!$B:$B,MATCH($F9,'Základní list'!$A:$A,0),1)))</f>
        <v>2440</v>
      </c>
      <c r="I9" s="97">
        <f>IF($G9="","",INDEX('1. závod'!$A:$AM,$G9+3,INDEX('Základní list'!$B:$B,MATCH($F9,'Základní list'!$A:$A,0),1)+2))</f>
        <v>1</v>
      </c>
      <c r="J9" s="161" t="s">
        <v>24</v>
      </c>
      <c r="K9" s="92">
        <v>6</v>
      </c>
      <c r="L9" s="99">
        <f>IF($K9="","",INDEX('2. závod'!$A:$AV,$K9+3,INDEX('Základní list'!$B:$B,MATCH($J9,'Základní list'!$A:$A,0),1)))</f>
        <v>1220</v>
      </c>
      <c r="M9" s="97">
        <f>IF($K9="","",INDEX('2. závod'!$A:$AV,$K9+3,INDEX('Základní list'!$B:$B,MATCH($J9,'Základní list'!$A:$A,0),1)+2))</f>
        <v>1</v>
      </c>
      <c r="N9" s="99">
        <f aca="true" t="shared" si="0" ref="N9:N40">IF($K9="","",SUM(H9,L9))</f>
        <v>3660</v>
      </c>
      <c r="O9" s="97">
        <f aca="true" t="shared" si="1" ref="O9:O40">IF($K9="","",SUM(I9,M9))</f>
        <v>2</v>
      </c>
      <c r="P9" s="129">
        <f>IF($N9="","",RANK(O9,O:O,1))</f>
        <v>1</v>
      </c>
      <c r="Q9" s="37" t="str">
        <f aca="true" t="shared" si="2" ref="Q9:Q40">CONCATENATE(F9,G9)</f>
        <v>C9</v>
      </c>
      <c r="R9" s="37" t="str">
        <f aca="true" t="shared" si="3" ref="R9:R40">CONCATENATE(J9,K9)</f>
        <v>F6</v>
      </c>
      <c r="S9" s="37">
        <f aca="true" t="shared" si="4" ref="S9:S40">COUNT(I9,M9)</f>
        <v>2</v>
      </c>
    </row>
    <row r="10" spans="1:19" ht="18" customHeight="1">
      <c r="A10" s="92">
        <v>2</v>
      </c>
      <c r="B10" s="157" t="s">
        <v>114</v>
      </c>
      <c r="C10" s="92" t="s">
        <v>50</v>
      </c>
      <c r="D10" s="127" t="s">
        <v>74</v>
      </c>
      <c r="E10" s="128">
        <v>1321</v>
      </c>
      <c r="F10" s="92" t="s">
        <v>20</v>
      </c>
      <c r="G10" s="92">
        <v>9</v>
      </c>
      <c r="H10" s="99">
        <f>IF($G10="","",INDEX('1. závod'!$A:$AN,$G10+3,INDEX('Základní list'!$B:$B,MATCH($F10,'Základní list'!$A:$A,0),1)))</f>
        <v>1680</v>
      </c>
      <c r="I10" s="97">
        <f>IF($G10="","",INDEX('1. závod'!$A:$AM,$G10+3,INDEX('Základní list'!$B:$B,MATCH($F10,'Základní list'!$A:$A,0),1)+2))</f>
        <v>2</v>
      </c>
      <c r="J10" s="161" t="s">
        <v>22</v>
      </c>
      <c r="K10" s="92">
        <v>6</v>
      </c>
      <c r="L10" s="99">
        <f>IF($K10="","",INDEX('2. závod'!$A:$AV,$K10+3,INDEX('Základní list'!$B:$B,MATCH($J10,'Základní list'!$A:$A,0),1)))</f>
        <v>1780</v>
      </c>
      <c r="M10" s="97">
        <f>IF($K10="","",INDEX('2. závod'!$A:$AV,$K10+3,INDEX('Základní list'!$B:$B,MATCH($J10,'Základní list'!$A:$A,0),1)+2))</f>
        <v>1</v>
      </c>
      <c r="N10" s="99">
        <f t="shared" si="0"/>
        <v>3460</v>
      </c>
      <c r="O10" s="97">
        <f t="shared" si="1"/>
        <v>3</v>
      </c>
      <c r="P10" s="129">
        <f>IF($N10="","",RANK(O10,O:O,1))</f>
        <v>2</v>
      </c>
      <c r="Q10" s="37" t="str">
        <f t="shared" si="2"/>
        <v>D9</v>
      </c>
      <c r="R10" s="37" t="str">
        <f t="shared" si="3"/>
        <v>C6</v>
      </c>
      <c r="S10" s="37">
        <f t="shared" si="4"/>
        <v>2</v>
      </c>
    </row>
    <row r="11" spans="1:19" s="16" customFormat="1" ht="18" customHeight="1">
      <c r="A11" s="90">
        <v>3</v>
      </c>
      <c r="B11" s="158" t="s">
        <v>116</v>
      </c>
      <c r="C11" s="98" t="s">
        <v>50</v>
      </c>
      <c r="D11" s="117" t="s">
        <v>117</v>
      </c>
      <c r="E11" s="109">
        <v>2319</v>
      </c>
      <c r="F11" s="90" t="s">
        <v>21</v>
      </c>
      <c r="G11" s="98">
        <v>5</v>
      </c>
      <c r="H11" s="96">
        <f>IF($G11="","",INDEX('1. závod'!$A:$AN,$G11+3,INDEX('Základní list'!$B:$B,MATCH($F11,'Základní list'!$A:$A,0),1)))</f>
        <v>380</v>
      </c>
      <c r="I11" s="123">
        <f>IF($G11="","",INDEX('1. závod'!$A:$AM,$G11+3,INDEX('Základní list'!$B:$B,MATCH($F11,'Základní list'!$A:$A,0),1)+2))</f>
        <v>2</v>
      </c>
      <c r="J11" s="90" t="s">
        <v>19</v>
      </c>
      <c r="K11" s="98">
        <v>7</v>
      </c>
      <c r="L11" s="96">
        <f>IF($K11="","",INDEX('2. závod'!$A:$AV,$K11+3,INDEX('Základní list'!$B:$B,MATCH($J11,'Základní list'!$A:$A,0),1)))</f>
        <v>640</v>
      </c>
      <c r="M11" s="120">
        <f>IF($K11="","",INDEX('2. závod'!$A:$AV,$K11+3,INDEX('Základní list'!$B:$B,MATCH($J11,'Základní list'!$A:$A,0),1)+2))</f>
        <v>2</v>
      </c>
      <c r="N11" s="101">
        <f t="shared" si="0"/>
        <v>1020</v>
      </c>
      <c r="O11" s="60">
        <f t="shared" si="1"/>
        <v>4</v>
      </c>
      <c r="P11" s="124">
        <f>IF($N11="","",RANK(O11,O:O,1))</f>
        <v>3</v>
      </c>
      <c r="Q11" s="37" t="str">
        <f t="shared" si="2"/>
        <v>E5</v>
      </c>
      <c r="R11" s="37" t="str">
        <f t="shared" si="3"/>
        <v>A7</v>
      </c>
      <c r="S11" s="37">
        <f t="shared" si="4"/>
        <v>2</v>
      </c>
    </row>
    <row r="12" spans="1:19" ht="18" customHeight="1">
      <c r="A12" s="90">
        <v>4</v>
      </c>
      <c r="B12" s="104" t="s">
        <v>95</v>
      </c>
      <c r="C12" s="92" t="s">
        <v>50</v>
      </c>
      <c r="D12" s="93" t="s">
        <v>96</v>
      </c>
      <c r="E12" s="110">
        <v>2289</v>
      </c>
      <c r="F12" s="95" t="s">
        <v>23</v>
      </c>
      <c r="G12" s="92">
        <v>8</v>
      </c>
      <c r="H12" s="96">
        <f>IF($G12="","",INDEX('1. závod'!$A:$AN,$G12+3,INDEX('Základní list'!$B:$B,MATCH($F12,'Základní list'!$A:$A,0),1)))</f>
        <v>300</v>
      </c>
      <c r="I12" s="97">
        <f>IF($G12="","",INDEX('1. závod'!$A:$AM,$G12+3,INDEX('Základní list'!$B:$B,MATCH($F12,'Základní list'!$A:$A,0),1)+2))</f>
        <v>2</v>
      </c>
      <c r="J12" s="90" t="s">
        <v>21</v>
      </c>
      <c r="K12" s="98">
        <v>10</v>
      </c>
      <c r="L12" s="99">
        <f>IF($K12="","",INDEX('2. závod'!$A:$AV,$K12+3,INDEX('Základní list'!$B:$B,MATCH($J12,'Základní list'!$A:$A,0),1)))</f>
        <v>200</v>
      </c>
      <c r="M12" s="100">
        <f>IF($K12="","",INDEX('2. závod'!$A:$AV,$K12+3,INDEX('Základní list'!$B:$B,MATCH($J12,'Základní list'!$A:$A,0),1)+2))</f>
        <v>2</v>
      </c>
      <c r="N12" s="101">
        <f t="shared" si="0"/>
        <v>500</v>
      </c>
      <c r="O12" s="60">
        <f t="shared" si="1"/>
        <v>4</v>
      </c>
      <c r="P12" s="103">
        <v>4</v>
      </c>
      <c r="Q12" s="37" t="str">
        <f t="shared" si="2"/>
        <v>B8</v>
      </c>
      <c r="R12" s="37" t="str">
        <f t="shared" si="3"/>
        <v>E10</v>
      </c>
      <c r="S12" s="37">
        <f t="shared" si="4"/>
        <v>2</v>
      </c>
    </row>
    <row r="13" spans="1:19" ht="18" customHeight="1" collapsed="1">
      <c r="A13" s="90">
        <v>5</v>
      </c>
      <c r="B13" s="91" t="s">
        <v>84</v>
      </c>
      <c r="C13" s="92" t="s">
        <v>50</v>
      </c>
      <c r="D13" s="93" t="s">
        <v>87</v>
      </c>
      <c r="E13" s="109">
        <v>2818</v>
      </c>
      <c r="F13" s="95" t="s">
        <v>19</v>
      </c>
      <c r="G13" s="92">
        <v>8</v>
      </c>
      <c r="H13" s="96">
        <f>IF($G13="","",INDEX('1. závod'!$A:$AN,$G13+3,INDEX('Základní list'!$B:$B,MATCH($F13,'Základní list'!$A:$A,0),1)))</f>
        <v>1720</v>
      </c>
      <c r="I13" s="97">
        <f>IF($G13="","",INDEX('1. závod'!$A:$AM,$G13+3,INDEX('Základní list'!$B:$B,MATCH($F13,'Základní list'!$A:$A,0),1)+2))</f>
        <v>2</v>
      </c>
      <c r="J13" s="90" t="s">
        <v>24</v>
      </c>
      <c r="K13" s="98">
        <v>9</v>
      </c>
      <c r="L13" s="99">
        <f>IF($K13="","",INDEX('2. závod'!$A:$AV,$K13+3,INDEX('Základní list'!$B:$B,MATCH($J13,'Základní list'!$A:$A,0),1)))</f>
        <v>600</v>
      </c>
      <c r="M13" s="100">
        <f>IF($K13="","",INDEX('2. závod'!$A:$AV,$K13+3,INDEX('Základní list'!$B:$B,MATCH($J13,'Základní list'!$A:$A,0),1)+2))</f>
        <v>4</v>
      </c>
      <c r="N13" s="101">
        <f t="shared" si="0"/>
        <v>2320</v>
      </c>
      <c r="O13" s="102">
        <f t="shared" si="1"/>
        <v>6</v>
      </c>
      <c r="P13" s="103">
        <f>IF($N13="","",RANK(O13,O:O,1))</f>
        <v>5</v>
      </c>
      <c r="Q13" s="37" t="str">
        <f t="shared" si="2"/>
        <v>A8</v>
      </c>
      <c r="R13" s="37" t="str">
        <f t="shared" si="3"/>
        <v>F9</v>
      </c>
      <c r="S13" s="37">
        <f t="shared" si="4"/>
        <v>2</v>
      </c>
    </row>
    <row r="14" spans="1:19" ht="18" customHeight="1">
      <c r="A14" s="90">
        <v>6</v>
      </c>
      <c r="B14" s="91" t="s">
        <v>83</v>
      </c>
      <c r="C14" s="92" t="s">
        <v>50</v>
      </c>
      <c r="D14" s="93" t="s">
        <v>86</v>
      </c>
      <c r="E14" s="110">
        <v>1730</v>
      </c>
      <c r="F14" s="95" t="s">
        <v>20</v>
      </c>
      <c r="G14" s="92">
        <v>1</v>
      </c>
      <c r="H14" s="96">
        <f>IF($G14="","",INDEX('1. závod'!$A:$AN,$G14+3,INDEX('Základní list'!$B:$B,MATCH($F14,'Základní list'!$A:$A,0),1)))</f>
        <v>1580</v>
      </c>
      <c r="I14" s="97">
        <f>IF($G14="","",INDEX('1. závod'!$A:$AM,$G14+3,INDEX('Základní list'!$B:$B,MATCH($F14,'Základní list'!$A:$A,0),1)+2))</f>
        <v>3</v>
      </c>
      <c r="J14" s="90" t="s">
        <v>20</v>
      </c>
      <c r="K14" s="98">
        <v>4</v>
      </c>
      <c r="L14" s="99">
        <f>IF($K14="","",INDEX('2. závod'!$A:$AV,$K14+3,INDEX('Základní list'!$B:$B,MATCH($J14,'Základní list'!$A:$A,0),1)))</f>
        <v>40</v>
      </c>
      <c r="M14" s="100">
        <f>IF($K14="","",INDEX('2. závod'!$A:$AV,$K14+3,INDEX('Základní list'!$B:$B,MATCH($J14,'Základní list'!$A:$A,0),1)+2))</f>
        <v>3</v>
      </c>
      <c r="N14" s="101">
        <f t="shared" si="0"/>
        <v>1620</v>
      </c>
      <c r="O14" s="60">
        <f t="shared" si="1"/>
        <v>6</v>
      </c>
      <c r="P14" s="103">
        <v>6</v>
      </c>
      <c r="Q14" s="37" t="str">
        <f t="shared" si="2"/>
        <v>D1</v>
      </c>
      <c r="R14" s="37" t="str">
        <f t="shared" si="3"/>
        <v>D4</v>
      </c>
      <c r="S14" s="37">
        <f t="shared" si="4"/>
        <v>2</v>
      </c>
    </row>
    <row r="15" spans="1:19" ht="18" customHeight="1">
      <c r="A15" s="90">
        <v>7</v>
      </c>
      <c r="B15" s="156" t="s">
        <v>75</v>
      </c>
      <c r="C15" s="92" t="s">
        <v>50</v>
      </c>
      <c r="D15" s="93" t="s">
        <v>74</v>
      </c>
      <c r="E15" s="110">
        <v>1125</v>
      </c>
      <c r="F15" s="95" t="s">
        <v>23</v>
      </c>
      <c r="G15" s="92">
        <v>4</v>
      </c>
      <c r="H15" s="96">
        <f>IF($G15="","",INDEX('1. závod'!$A:$AN,$G15+3,INDEX('Základní list'!$B:$B,MATCH($F15,'Základní list'!$A:$A,0),1)))</f>
        <v>140</v>
      </c>
      <c r="I15" s="97">
        <f>IF($G15="","",INDEX('1. závod'!$A:$AM,$G15+3,INDEX('Základní list'!$B:$B,MATCH($F15,'Základní list'!$A:$A,0),1)+2))</f>
        <v>3</v>
      </c>
      <c r="J15" s="90" t="s">
        <v>24</v>
      </c>
      <c r="K15" s="98">
        <v>10</v>
      </c>
      <c r="L15" s="99">
        <f>IF($K15="","",INDEX('2. závod'!$A:$AV,$K15+3,INDEX('Základní list'!$B:$B,MATCH($J15,'Základní list'!$A:$A,0),1)))</f>
        <v>880</v>
      </c>
      <c r="M15" s="100">
        <f>IF($K15="","",INDEX('2. závod'!$A:$AV,$K15+3,INDEX('Základní list'!$B:$B,MATCH($J15,'Základní list'!$A:$A,0),1)+2))</f>
        <v>3</v>
      </c>
      <c r="N15" s="101">
        <f t="shared" si="0"/>
        <v>1020</v>
      </c>
      <c r="O15" s="102">
        <f t="shared" si="1"/>
        <v>6</v>
      </c>
      <c r="P15" s="103">
        <v>7</v>
      </c>
      <c r="Q15" s="37" t="str">
        <f t="shared" si="2"/>
        <v>B4</v>
      </c>
      <c r="R15" s="37" t="str">
        <f t="shared" si="3"/>
        <v>F10</v>
      </c>
      <c r="S15" s="37">
        <f t="shared" si="4"/>
        <v>2</v>
      </c>
    </row>
    <row r="16" spans="1:19" s="16" customFormat="1" ht="18" customHeight="1">
      <c r="A16" s="90">
        <v>8</v>
      </c>
      <c r="B16" s="156" t="s">
        <v>121</v>
      </c>
      <c r="C16" s="31" t="s">
        <v>50</v>
      </c>
      <c r="D16" s="32" t="s">
        <v>124</v>
      </c>
      <c r="E16" s="109">
        <v>2391</v>
      </c>
      <c r="F16" s="33" t="s">
        <v>19</v>
      </c>
      <c r="G16" s="31">
        <v>4</v>
      </c>
      <c r="H16" s="24">
        <f>IF($G16="","",INDEX('1. závod'!$A:$AN,$G16+3,INDEX('Základní list'!$B:$B,MATCH($F16,'Základní list'!$A:$A,0),1)))</f>
        <v>240</v>
      </c>
      <c r="I16" s="20">
        <f>IF($G16="","",INDEX('1. závod'!$A:$AM,$G16+3,INDEX('Základní list'!$B:$B,MATCH($F16,'Základní list'!$A:$A,0),1)+2))</f>
        <v>5</v>
      </c>
      <c r="J16" s="28" t="s">
        <v>24</v>
      </c>
      <c r="K16" s="29">
        <v>3</v>
      </c>
      <c r="L16" s="61">
        <f>IF($K16="","",INDEX('2. závod'!$A:$AV,$K16+3,INDEX('Základní list'!$B:$B,MATCH($J16,'Základní list'!$A:$A,0),1)))</f>
        <v>920</v>
      </c>
      <c r="M16" s="62">
        <f>IF($K16="","",INDEX('2. závod'!$A:$AV,$K16+3,INDEX('Základní list'!$B:$B,MATCH($J16,'Základní list'!$A:$A,0),1)+2))</f>
        <v>2</v>
      </c>
      <c r="N16" s="26">
        <f t="shared" si="0"/>
        <v>1160</v>
      </c>
      <c r="O16" s="60">
        <f t="shared" si="1"/>
        <v>7</v>
      </c>
      <c r="P16" s="103">
        <f>IF($N16="","",RANK(O16,O:O,1))</f>
        <v>8</v>
      </c>
      <c r="Q16" s="37" t="str">
        <f t="shared" si="2"/>
        <v>A4</v>
      </c>
      <c r="R16" s="37" t="str">
        <f t="shared" si="3"/>
        <v>F3</v>
      </c>
      <c r="S16" s="37">
        <f t="shared" si="4"/>
        <v>2</v>
      </c>
    </row>
    <row r="17" spans="1:19" ht="18" customHeight="1">
      <c r="A17" s="90">
        <v>9</v>
      </c>
      <c r="B17" s="157" t="s">
        <v>110</v>
      </c>
      <c r="C17" s="92" t="s">
        <v>50</v>
      </c>
      <c r="D17" s="93" t="s">
        <v>74</v>
      </c>
      <c r="E17" s="110">
        <v>2336</v>
      </c>
      <c r="F17" s="95" t="s">
        <v>24</v>
      </c>
      <c r="G17" s="92">
        <v>10</v>
      </c>
      <c r="H17" s="96">
        <f>IF($G17="","",INDEX('1. závod'!$A:$AN,$G17+3,INDEX('Základní list'!$B:$B,MATCH($F17,'Základní list'!$A:$A,0),1)))</f>
        <v>1720</v>
      </c>
      <c r="I17" s="97">
        <f>IF($G17="","",INDEX('1. závod'!$A:$AM,$G17+3,INDEX('Základní list'!$B:$B,MATCH($F17,'Základní list'!$A:$A,0),1)+2))</f>
        <v>2</v>
      </c>
      <c r="J17" s="90" t="s">
        <v>23</v>
      </c>
      <c r="K17" s="98">
        <v>9</v>
      </c>
      <c r="L17" s="99">
        <f>IF($K17="","",INDEX('2. závod'!$A:$AV,$K17+3,INDEX('Základní list'!$B:$B,MATCH($J17,'Základní list'!$A:$A,0),1)))</f>
        <v>0</v>
      </c>
      <c r="M17" s="100">
        <f>IF($K17="","",INDEX('2. závod'!$A:$AV,$K17+3,INDEX('Základní list'!$B:$B,MATCH($J17,'Základní list'!$A:$A,0),1)+2))</f>
        <v>5.5</v>
      </c>
      <c r="N17" s="101">
        <f t="shared" si="0"/>
        <v>1720</v>
      </c>
      <c r="O17" s="60">
        <f t="shared" si="1"/>
        <v>7.5</v>
      </c>
      <c r="P17" s="103">
        <f>IF($N17="","",RANK(O17,O:O,1))</f>
        <v>9</v>
      </c>
      <c r="Q17" s="37" t="str">
        <f t="shared" si="2"/>
        <v>F10</v>
      </c>
      <c r="R17" s="37" t="str">
        <f t="shared" si="3"/>
        <v>B9</v>
      </c>
      <c r="S17" s="37">
        <f t="shared" si="4"/>
        <v>2</v>
      </c>
    </row>
    <row r="18" spans="1:19" s="16" customFormat="1" ht="18" customHeight="1">
      <c r="A18" s="90">
        <v>10</v>
      </c>
      <c r="B18" s="30" t="s">
        <v>151</v>
      </c>
      <c r="C18" s="31" t="s">
        <v>50</v>
      </c>
      <c r="D18" s="32" t="s">
        <v>153</v>
      </c>
      <c r="E18" s="110">
        <v>2492</v>
      </c>
      <c r="F18" s="163" t="s">
        <v>19</v>
      </c>
      <c r="G18" s="31">
        <v>3</v>
      </c>
      <c r="H18" s="24">
        <f>IF($G18="","",INDEX('1. závod'!$A:$AN,$G18+3,INDEX('Základní list'!$B:$B,MATCH($F18,'Základní list'!$A:$A,0),1)))</f>
        <v>2340</v>
      </c>
      <c r="I18" s="20">
        <f>IF($G18="","",INDEX('1. závod'!$A:$AM,$G18+3,INDEX('Základní list'!$B:$B,MATCH($F18,'Základní list'!$A:$A,0),1)+2))</f>
        <v>1</v>
      </c>
      <c r="J18" s="28" t="s">
        <v>20</v>
      </c>
      <c r="K18" s="29">
        <v>8</v>
      </c>
      <c r="L18" s="61">
        <f>IF($K18="","",INDEX('2. závod'!$A:$AV,$K18+3,INDEX('Základní list'!$B:$B,MATCH($J18,'Základní list'!$A:$A,0),1)))</f>
        <v>0</v>
      </c>
      <c r="M18" s="62">
        <f>IF($K18="","",INDEX('2. závod'!$A:$AV,$K18+3,INDEX('Základní list'!$B:$B,MATCH($J18,'Základní list'!$A:$A,0),1)+2))</f>
        <v>7</v>
      </c>
      <c r="N18" s="26">
        <f t="shared" si="0"/>
        <v>2340</v>
      </c>
      <c r="O18" s="102">
        <f t="shared" si="1"/>
        <v>8</v>
      </c>
      <c r="P18" s="103">
        <f>IF($N18="","",RANK(O18,O:O,1))</f>
        <v>10</v>
      </c>
      <c r="Q18" s="37" t="str">
        <f t="shared" si="2"/>
        <v>A3</v>
      </c>
      <c r="R18" s="37" t="str">
        <f t="shared" si="3"/>
        <v>D8</v>
      </c>
      <c r="S18" s="37">
        <f t="shared" si="4"/>
        <v>2</v>
      </c>
    </row>
    <row r="19" spans="1:19" ht="18" customHeight="1">
      <c r="A19" s="90">
        <v>11</v>
      </c>
      <c r="B19" s="30" t="s">
        <v>132</v>
      </c>
      <c r="C19" s="31" t="s">
        <v>50</v>
      </c>
      <c r="D19" s="32" t="s">
        <v>128</v>
      </c>
      <c r="E19" s="109">
        <v>9</v>
      </c>
      <c r="F19" s="33" t="s">
        <v>23</v>
      </c>
      <c r="G19" s="31">
        <v>1</v>
      </c>
      <c r="H19" s="24">
        <f>IF($G19="","",INDEX('1. závod'!$A:$AN,$G19+3,INDEX('Základní list'!$B:$B,MATCH($F19,'Základní list'!$A:$A,0),1)))</f>
        <v>0</v>
      </c>
      <c r="I19" s="20">
        <f>IF($G19="","",INDEX('1. závod'!$A:$AM,$G19+3,INDEX('Základní list'!$B:$B,MATCH($F19,'Základní list'!$A:$A,0),1)+2))</f>
        <v>7</v>
      </c>
      <c r="J19" s="162" t="s">
        <v>19</v>
      </c>
      <c r="K19" s="29">
        <v>2</v>
      </c>
      <c r="L19" s="61">
        <f>IF($K19="","",INDEX('2. závod'!$A:$AV,$K19+3,INDEX('Základní list'!$B:$B,MATCH($J19,'Základní list'!$A:$A,0),1)))</f>
        <v>2060</v>
      </c>
      <c r="M19" s="62">
        <f>IF($K19="","",INDEX('2. závod'!$A:$AV,$K19+3,INDEX('Základní list'!$B:$B,MATCH($J19,'Základní list'!$A:$A,0),1)+2))</f>
        <v>1</v>
      </c>
      <c r="N19" s="26">
        <f t="shared" si="0"/>
        <v>2060</v>
      </c>
      <c r="O19" s="102">
        <f t="shared" si="1"/>
        <v>8</v>
      </c>
      <c r="P19" s="103">
        <v>11</v>
      </c>
      <c r="Q19" s="37" t="str">
        <f t="shared" si="2"/>
        <v>B1</v>
      </c>
      <c r="R19" s="37" t="str">
        <f t="shared" si="3"/>
        <v>A2</v>
      </c>
      <c r="S19" s="37">
        <f t="shared" si="4"/>
        <v>2</v>
      </c>
    </row>
    <row r="20" spans="1:19" ht="18" customHeight="1">
      <c r="A20" s="90">
        <v>12</v>
      </c>
      <c r="B20" s="30" t="s">
        <v>161</v>
      </c>
      <c r="C20" s="31" t="s">
        <v>50</v>
      </c>
      <c r="D20" s="32" t="s">
        <v>163</v>
      </c>
      <c r="E20" s="110">
        <v>2934</v>
      </c>
      <c r="F20" s="33" t="s">
        <v>20</v>
      </c>
      <c r="G20" s="31">
        <v>3</v>
      </c>
      <c r="H20" s="24">
        <f>IF($G20="","",INDEX('1. závod'!$A:$AN,$G20+3,INDEX('Základní list'!$B:$B,MATCH($F20,'Základní list'!$A:$A,0),1)))</f>
        <v>0</v>
      </c>
      <c r="I20" s="20">
        <f>IF($G20="","",INDEX('1. závod'!$A:$AM,$G20+3,INDEX('Základní list'!$B:$B,MATCH($F20,'Základní list'!$A:$A,0),1)+2))</f>
        <v>7</v>
      </c>
      <c r="J20" s="162" t="s">
        <v>21</v>
      </c>
      <c r="K20" s="29">
        <v>2</v>
      </c>
      <c r="L20" s="61">
        <f>IF($K20="","",INDEX('2. závod'!$A:$AV,$K20+3,INDEX('Základní list'!$B:$B,MATCH($J20,'Základní list'!$A:$A,0),1)))</f>
        <v>520</v>
      </c>
      <c r="M20" s="62">
        <f>IF($K20="","",INDEX('2. závod'!$A:$AV,$K20+3,INDEX('Základní list'!$B:$B,MATCH($J20,'Základní list'!$A:$A,0),1)+2))</f>
        <v>1</v>
      </c>
      <c r="N20" s="26">
        <f t="shared" si="0"/>
        <v>520</v>
      </c>
      <c r="O20" s="102">
        <f t="shared" si="1"/>
        <v>8</v>
      </c>
      <c r="P20" s="103">
        <v>12</v>
      </c>
      <c r="Q20" s="37" t="str">
        <f t="shared" si="2"/>
        <v>D3</v>
      </c>
      <c r="R20" s="37" t="str">
        <f t="shared" si="3"/>
        <v>E2</v>
      </c>
      <c r="S20" s="37">
        <f t="shared" si="4"/>
        <v>2</v>
      </c>
    </row>
    <row r="21" spans="1:19" s="16" customFormat="1" ht="18" customHeight="1">
      <c r="A21" s="90">
        <v>13</v>
      </c>
      <c r="B21" s="30" t="s">
        <v>157</v>
      </c>
      <c r="C21" s="31" t="s">
        <v>50</v>
      </c>
      <c r="D21" s="32" t="s">
        <v>74</v>
      </c>
      <c r="E21" s="110">
        <v>2500</v>
      </c>
      <c r="F21" s="33" t="s">
        <v>21</v>
      </c>
      <c r="G21" s="31">
        <v>3</v>
      </c>
      <c r="H21" s="24">
        <f>IF($G21="","",INDEX('1. závod'!$A:$AN,$G21+3,INDEX('Základní list'!$B:$B,MATCH($F21,'Základní list'!$A:$A,0),1)))</f>
        <v>0</v>
      </c>
      <c r="I21" s="20">
        <f>IF($G21="","",INDEX('1. závod'!$A:$AM,$G21+3,INDEX('Základní list'!$B:$B,MATCH($F21,'Základní list'!$A:$A,0),1)+2))</f>
        <v>7</v>
      </c>
      <c r="J21" s="162" t="s">
        <v>20</v>
      </c>
      <c r="K21" s="29">
        <v>7</v>
      </c>
      <c r="L21" s="61">
        <f>IF($K21="","",INDEX('2. závod'!$A:$AV,$K21+3,INDEX('Základní list'!$B:$B,MATCH($J21,'Základní list'!$A:$A,0),1)))</f>
        <v>240</v>
      </c>
      <c r="M21" s="62">
        <f>IF($K21="","",INDEX('2. závod'!$A:$AV,$K21+3,INDEX('Základní list'!$B:$B,MATCH($J21,'Základní list'!$A:$A,0),1)+2))</f>
        <v>1</v>
      </c>
      <c r="N21" s="26">
        <f t="shared" si="0"/>
        <v>240</v>
      </c>
      <c r="O21" s="60">
        <f t="shared" si="1"/>
        <v>8</v>
      </c>
      <c r="P21" s="103">
        <v>13</v>
      </c>
      <c r="Q21" s="37" t="str">
        <f t="shared" si="2"/>
        <v>E3</v>
      </c>
      <c r="R21" s="37" t="str">
        <f t="shared" si="3"/>
        <v>D7</v>
      </c>
      <c r="S21" s="37">
        <f t="shared" si="4"/>
        <v>2</v>
      </c>
    </row>
    <row r="22" spans="1:19" ht="18" customHeight="1">
      <c r="A22" s="90">
        <v>14</v>
      </c>
      <c r="B22" s="30" t="s">
        <v>160</v>
      </c>
      <c r="C22" s="31" t="s">
        <v>50</v>
      </c>
      <c r="D22" s="32" t="s">
        <v>163</v>
      </c>
      <c r="E22" s="109">
        <v>17</v>
      </c>
      <c r="F22" s="163" t="s">
        <v>24</v>
      </c>
      <c r="G22" s="31">
        <v>9</v>
      </c>
      <c r="H22" s="24">
        <f>IF($G22="","",INDEX('1. závod'!$A:$AN,$G22+3,INDEX('Základní list'!$B:$B,MATCH($F22,'Základní list'!$A:$A,0),1)))</f>
        <v>3460</v>
      </c>
      <c r="I22" s="20">
        <f>IF($G22="","",INDEX('1. závod'!$A:$AM,$G22+3,INDEX('Základní list'!$B:$B,MATCH($F22,'Základní list'!$A:$A,0),1)+2))</f>
        <v>1</v>
      </c>
      <c r="J22" s="28" t="s">
        <v>19</v>
      </c>
      <c r="K22" s="29">
        <v>4</v>
      </c>
      <c r="L22" s="61">
        <f>IF($K22="","",INDEX('2. závod'!$A:$AV,$K22+3,INDEX('Základní list'!$B:$B,MATCH($J22,'Základní list'!$A:$A,0),1)))</f>
        <v>0</v>
      </c>
      <c r="M22" s="62">
        <f>IF($K22="","",INDEX('2. závod'!$A:$AV,$K22+3,INDEX('Základní list'!$B:$B,MATCH($J22,'Základní list'!$A:$A,0),1)+2))</f>
        <v>8</v>
      </c>
      <c r="N22" s="26">
        <f t="shared" si="0"/>
        <v>3460</v>
      </c>
      <c r="O22" s="102">
        <f t="shared" si="1"/>
        <v>9</v>
      </c>
      <c r="P22" s="103">
        <f>IF($N22="","",RANK(O22,O:O,1))</f>
        <v>14</v>
      </c>
      <c r="Q22" s="37" t="str">
        <f t="shared" si="2"/>
        <v>F9</v>
      </c>
      <c r="R22" s="37" t="str">
        <f t="shared" si="3"/>
        <v>A4</v>
      </c>
      <c r="S22" s="37">
        <f t="shared" si="4"/>
        <v>2</v>
      </c>
    </row>
    <row r="23" spans="1:19" s="16" customFormat="1" ht="18" customHeight="1">
      <c r="A23" s="90">
        <v>15</v>
      </c>
      <c r="B23" s="91" t="s">
        <v>80</v>
      </c>
      <c r="C23" s="92" t="s">
        <v>50</v>
      </c>
      <c r="D23" s="93" t="s">
        <v>78</v>
      </c>
      <c r="E23" s="110">
        <v>2305</v>
      </c>
      <c r="F23" s="163" t="s">
        <v>20</v>
      </c>
      <c r="G23" s="92">
        <v>5</v>
      </c>
      <c r="H23" s="96">
        <f>IF($G23="","",INDEX('1. závod'!$A:$AN,$G23+3,INDEX('Základní list'!$B:$B,MATCH($F23,'Základní list'!$A:$A,0),1)))</f>
        <v>1800</v>
      </c>
      <c r="I23" s="97">
        <f>IF($G23="","",INDEX('1. závod'!$A:$AM,$G23+3,INDEX('Základní list'!$B:$B,MATCH($F23,'Základní list'!$A:$A,0),1)+2))</f>
        <v>1</v>
      </c>
      <c r="J23" s="90" t="s">
        <v>19</v>
      </c>
      <c r="K23" s="98">
        <v>9</v>
      </c>
      <c r="L23" s="99">
        <f>IF($K23="","",INDEX('2. závod'!$A:$AV,$K23+3,INDEX('Základní list'!$B:$B,MATCH($J23,'Základní list'!$A:$A,0),1)))</f>
        <v>0</v>
      </c>
      <c r="M23" s="100">
        <f>IF($K23="","",INDEX('2. závod'!$A:$AV,$K23+3,INDEX('Základní list'!$B:$B,MATCH($J23,'Základní list'!$A:$A,0),1)+2))</f>
        <v>8</v>
      </c>
      <c r="N23" s="101">
        <f t="shared" si="0"/>
        <v>1800</v>
      </c>
      <c r="O23" s="102">
        <f t="shared" si="1"/>
        <v>9</v>
      </c>
      <c r="P23" s="103">
        <v>15</v>
      </c>
      <c r="Q23" s="37" t="str">
        <f t="shared" si="2"/>
        <v>D5</v>
      </c>
      <c r="R23" s="37" t="str">
        <f t="shared" si="3"/>
        <v>A9</v>
      </c>
      <c r="S23" s="37">
        <f t="shared" si="4"/>
        <v>2</v>
      </c>
    </row>
    <row r="24" spans="1:19" ht="18" customHeight="1">
      <c r="A24" s="90">
        <v>16</v>
      </c>
      <c r="B24" s="30" t="s">
        <v>180</v>
      </c>
      <c r="C24" s="31" t="s">
        <v>50</v>
      </c>
      <c r="D24" s="32" t="s">
        <v>163</v>
      </c>
      <c r="E24" s="110">
        <v>3124</v>
      </c>
      <c r="F24" s="33" t="s">
        <v>19</v>
      </c>
      <c r="G24" s="31">
        <v>9</v>
      </c>
      <c r="H24" s="24">
        <f>IF($G24="","",INDEX('1. závod'!$A:$AN,$G24+3,INDEX('Základní list'!$B:$B,MATCH($F24,'Základní list'!$A:$A,0),1)))</f>
        <v>1660</v>
      </c>
      <c r="I24" s="20">
        <f>IF($G24="","",INDEX('1. závod'!$A:$AM,$G24+3,INDEX('Základní list'!$B:$B,MATCH($F24,'Základní list'!$A:$A,0),1)+2))</f>
        <v>3</v>
      </c>
      <c r="J24" s="28" t="s">
        <v>22</v>
      </c>
      <c r="K24" s="29">
        <v>1</v>
      </c>
      <c r="L24" s="61">
        <f>IF($K24="","",INDEX('2. závod'!$A:$AV,$K24+3,INDEX('Základní list'!$B:$B,MATCH($J24,'Základní list'!$A:$A,0),1)))</f>
        <v>0</v>
      </c>
      <c r="M24" s="62">
        <f>IF($K24="","",INDEX('2. závod'!$A:$AV,$K24+3,INDEX('Základní list'!$B:$B,MATCH($J24,'Základní list'!$A:$A,0),1)+2))</f>
        <v>6</v>
      </c>
      <c r="N24" s="26">
        <f t="shared" si="0"/>
        <v>1660</v>
      </c>
      <c r="O24" s="102">
        <f t="shared" si="1"/>
        <v>9</v>
      </c>
      <c r="P24" s="103">
        <v>16</v>
      </c>
      <c r="Q24" s="37" t="str">
        <f t="shared" si="2"/>
        <v>A9</v>
      </c>
      <c r="R24" s="37" t="str">
        <f t="shared" si="3"/>
        <v>C1</v>
      </c>
      <c r="S24" s="37">
        <f t="shared" si="4"/>
        <v>2</v>
      </c>
    </row>
    <row r="25" spans="1:19" ht="18" customHeight="1">
      <c r="A25" s="90">
        <v>17</v>
      </c>
      <c r="B25" s="91" t="s">
        <v>89</v>
      </c>
      <c r="C25" s="92" t="s">
        <v>50</v>
      </c>
      <c r="D25" s="93" t="s">
        <v>90</v>
      </c>
      <c r="E25" s="109">
        <v>1982</v>
      </c>
      <c r="F25" s="95" t="s">
        <v>22</v>
      </c>
      <c r="G25" s="92">
        <v>6</v>
      </c>
      <c r="H25" s="96">
        <f>IF($G25="","",INDEX('1. závod'!$A:$AN,$G25+3,INDEX('Základní list'!$B:$B,MATCH($F25,'Základní list'!$A:$A,0),1)))</f>
        <v>1440</v>
      </c>
      <c r="I25" s="97">
        <f>IF($G25="","",INDEX('1. závod'!$A:$AM,$G25+3,INDEX('Základní list'!$B:$B,MATCH($F25,'Základní list'!$A:$A,0),1)+2))</f>
        <v>2</v>
      </c>
      <c r="J25" s="90" t="s">
        <v>20</v>
      </c>
      <c r="K25" s="98">
        <v>5</v>
      </c>
      <c r="L25" s="99">
        <f>IF($K25="","",INDEX('2. závod'!$A:$AV,$K25+3,INDEX('Základní list'!$B:$B,MATCH($J25,'Základní list'!$A:$A,0),1)))</f>
        <v>0</v>
      </c>
      <c r="M25" s="100">
        <f>IF($K25="","",INDEX('2. závod'!$A:$AV,$K25+3,INDEX('Základní list'!$B:$B,MATCH($J25,'Základní list'!$A:$A,0),1)+2))</f>
        <v>7</v>
      </c>
      <c r="N25" s="101">
        <f t="shared" si="0"/>
        <v>1440</v>
      </c>
      <c r="O25" s="60">
        <f t="shared" si="1"/>
        <v>9</v>
      </c>
      <c r="P25" s="103">
        <v>17</v>
      </c>
      <c r="Q25" s="37" t="str">
        <f t="shared" si="2"/>
        <v>C6</v>
      </c>
      <c r="R25" s="37" t="str">
        <f t="shared" si="3"/>
        <v>D5</v>
      </c>
      <c r="S25" s="37">
        <f t="shared" si="4"/>
        <v>2</v>
      </c>
    </row>
    <row r="26" spans="1:19" s="16" customFormat="1" ht="18" customHeight="1">
      <c r="A26" s="90">
        <v>18</v>
      </c>
      <c r="B26" s="91" t="s">
        <v>93</v>
      </c>
      <c r="C26" s="92" t="s">
        <v>50</v>
      </c>
      <c r="D26" s="93" t="s">
        <v>91</v>
      </c>
      <c r="E26" s="110">
        <v>2506</v>
      </c>
      <c r="F26" s="163" t="s">
        <v>21</v>
      </c>
      <c r="G26" s="92">
        <v>6</v>
      </c>
      <c r="H26" s="96">
        <f>IF($G26="","",INDEX('1. závod'!$A:$AN,$G26+3,INDEX('Základní list'!$B:$B,MATCH($F26,'Základní list'!$A:$A,0),1)))</f>
        <v>640</v>
      </c>
      <c r="I26" s="97">
        <f>IF($G26="","",INDEX('1. závod'!$A:$AM,$G26+3,INDEX('Základní list'!$B:$B,MATCH($F26,'Základní list'!$A:$A,0),1)+2))</f>
        <v>1</v>
      </c>
      <c r="J26" s="90" t="s">
        <v>21</v>
      </c>
      <c r="K26" s="98">
        <v>6</v>
      </c>
      <c r="L26" s="99">
        <f>IF($K26="","",INDEX('2. závod'!$A:$AV,$K26+3,INDEX('Základní list'!$B:$B,MATCH($J26,'Základní list'!$A:$A,0),1)))</f>
        <v>0</v>
      </c>
      <c r="M26" s="100">
        <f>IF($K26="","",INDEX('2. závod'!$A:$AV,$K26+3,INDEX('Základní list'!$B:$B,MATCH($J26,'Základní list'!$A:$A,0),1)+2))</f>
        <v>8</v>
      </c>
      <c r="N26" s="101">
        <f t="shared" si="0"/>
        <v>640</v>
      </c>
      <c r="O26" s="102">
        <f t="shared" si="1"/>
        <v>9</v>
      </c>
      <c r="P26" s="103">
        <v>18</v>
      </c>
      <c r="Q26" s="37" t="str">
        <f t="shared" si="2"/>
        <v>E6</v>
      </c>
      <c r="R26" s="37" t="str">
        <f t="shared" si="3"/>
        <v>E6</v>
      </c>
      <c r="S26" s="37">
        <f t="shared" si="4"/>
        <v>2</v>
      </c>
    </row>
    <row r="27" spans="1:19" ht="18" customHeight="1">
      <c r="A27" s="90">
        <v>19</v>
      </c>
      <c r="B27" s="91" t="s">
        <v>92</v>
      </c>
      <c r="C27" s="92" t="s">
        <v>50</v>
      </c>
      <c r="D27" s="93" t="s">
        <v>74</v>
      </c>
      <c r="E27" s="110">
        <v>2271</v>
      </c>
      <c r="F27" s="163" t="s">
        <v>23</v>
      </c>
      <c r="G27" s="92">
        <v>2</v>
      </c>
      <c r="H27" s="96">
        <f>IF($G27="","",INDEX('1. závod'!$A:$AN,$G27+3,INDEX('Základní list'!$B:$B,MATCH($F27,'Základní list'!$A:$A,0),1)))</f>
        <v>340</v>
      </c>
      <c r="I27" s="97">
        <f>IF($G27="","",INDEX('1. závod'!$A:$AM,$G27+3,INDEX('Základní list'!$B:$B,MATCH($F27,'Základní list'!$A:$A,0),1)+2))</f>
        <v>1</v>
      </c>
      <c r="J27" s="90" t="s">
        <v>19</v>
      </c>
      <c r="K27" s="98">
        <v>3</v>
      </c>
      <c r="L27" s="99">
        <f>IF($K27="","",INDEX('2. závod'!$A:$AV,$K27+3,INDEX('Základní list'!$B:$B,MATCH($J27,'Základní list'!$A:$A,0),1)))</f>
        <v>0</v>
      </c>
      <c r="M27" s="100">
        <f>IF($K27="","",INDEX('2. závod'!$A:$AV,$K27+3,INDEX('Základní list'!$B:$B,MATCH($J27,'Základní list'!$A:$A,0),1)+2))</f>
        <v>8</v>
      </c>
      <c r="N27" s="101">
        <f t="shared" si="0"/>
        <v>340</v>
      </c>
      <c r="O27" s="60">
        <f t="shared" si="1"/>
        <v>9</v>
      </c>
      <c r="P27" s="103">
        <v>19</v>
      </c>
      <c r="Q27" s="37" t="str">
        <f t="shared" si="2"/>
        <v>B2</v>
      </c>
      <c r="R27" s="37" t="str">
        <f t="shared" si="3"/>
        <v>A3</v>
      </c>
      <c r="S27" s="37">
        <f t="shared" si="4"/>
        <v>2</v>
      </c>
    </row>
    <row r="28" spans="1:19" ht="18" customHeight="1">
      <c r="A28" s="90">
        <v>20</v>
      </c>
      <c r="B28" s="30" t="s">
        <v>127</v>
      </c>
      <c r="C28" s="159" t="s">
        <v>50</v>
      </c>
      <c r="D28" s="32" t="s">
        <v>128</v>
      </c>
      <c r="E28" s="109">
        <v>6</v>
      </c>
      <c r="F28" s="130" t="s">
        <v>24</v>
      </c>
      <c r="G28" s="31">
        <v>7</v>
      </c>
      <c r="H28" s="24">
        <f>IF($G28="","",INDEX('1. závod'!$A:$AN,$G28+3,INDEX('Základní list'!$B:$B,MATCH($F28,'Základní list'!$A:$A,0),1)))</f>
        <v>480</v>
      </c>
      <c r="I28" s="20">
        <f>IF($G28="","",INDEX('1. závod'!$A:$AM,$G28+3,INDEX('Základní list'!$B:$B,MATCH($F28,'Základní list'!$A:$A,0),1)+2))</f>
        <v>4</v>
      </c>
      <c r="J28" s="28" t="s">
        <v>23</v>
      </c>
      <c r="K28" s="29">
        <v>6</v>
      </c>
      <c r="L28" s="61">
        <f>IF($K28="","",INDEX('2. závod'!$A:$AV,$K28+3,INDEX('Základní list'!$B:$B,MATCH($J28,'Základní list'!$A:$A,0),1)))</f>
        <v>0</v>
      </c>
      <c r="M28" s="62">
        <f>IF($K28="","",INDEX('2. závod'!$A:$AV,$K28+3,INDEX('Základní list'!$B:$B,MATCH($J28,'Základní list'!$A:$A,0),1)+2))</f>
        <v>5.5</v>
      </c>
      <c r="N28" s="26">
        <f t="shared" si="0"/>
        <v>480</v>
      </c>
      <c r="O28" s="60">
        <f t="shared" si="1"/>
        <v>9.5</v>
      </c>
      <c r="P28" s="103">
        <f>IF($N28="","",RANK(O28,O:O,1))</f>
        <v>20</v>
      </c>
      <c r="Q28" s="37" t="str">
        <f t="shared" si="2"/>
        <v>F7</v>
      </c>
      <c r="R28" s="37" t="str">
        <f t="shared" si="3"/>
        <v>B6</v>
      </c>
      <c r="S28" s="37">
        <f t="shared" si="4"/>
        <v>2</v>
      </c>
    </row>
    <row r="29" spans="1:19" ht="18" customHeight="1">
      <c r="A29" s="90">
        <v>21</v>
      </c>
      <c r="B29" s="30" t="s">
        <v>171</v>
      </c>
      <c r="C29" s="159" t="s">
        <v>50</v>
      </c>
      <c r="D29" s="32" t="s">
        <v>163</v>
      </c>
      <c r="E29" s="94">
        <v>2646</v>
      </c>
      <c r="F29" s="33" t="s">
        <v>20</v>
      </c>
      <c r="G29" s="31">
        <v>10</v>
      </c>
      <c r="H29" s="24">
        <f>IF($G29="","",INDEX('1. závod'!$A:$AN,$G29+3,INDEX('Základní list'!$B:$B,MATCH($F29,'Základní list'!$A:$A,0),1)))</f>
        <v>0</v>
      </c>
      <c r="I29" s="20">
        <f>IF($G29="","",INDEX('1. závod'!$A:$AM,$G29+3,INDEX('Základní list'!$B:$B,MATCH($F29,'Základní list'!$A:$A,0),1)+2))</f>
        <v>7</v>
      </c>
      <c r="J29" s="28" t="s">
        <v>19</v>
      </c>
      <c r="K29" s="29">
        <v>5</v>
      </c>
      <c r="L29" s="61">
        <f>IF($K29="","",INDEX('2. závod'!$A:$AV,$K29+3,INDEX('Základní list'!$B:$B,MATCH($J29,'Základní list'!$A:$A,0),1)))</f>
        <v>280</v>
      </c>
      <c r="M29" s="62">
        <f>IF($K29="","",INDEX('2. závod'!$A:$AV,$K29+3,INDEX('Základní list'!$B:$B,MATCH($J29,'Základní list'!$A:$A,0),1)+2))</f>
        <v>3</v>
      </c>
      <c r="N29" s="26">
        <f t="shared" si="0"/>
        <v>280</v>
      </c>
      <c r="O29" s="60">
        <f t="shared" si="1"/>
        <v>10</v>
      </c>
      <c r="P29" s="103">
        <f>IF($N29="","",RANK(O29,O:O,1))</f>
        <v>21</v>
      </c>
      <c r="Q29" s="37" t="str">
        <f t="shared" si="2"/>
        <v>D10</v>
      </c>
      <c r="R29" s="37" t="str">
        <f t="shared" si="3"/>
        <v>A5</v>
      </c>
      <c r="S29" s="37">
        <f t="shared" si="4"/>
        <v>2</v>
      </c>
    </row>
    <row r="30" spans="1:19" ht="18" customHeight="1">
      <c r="A30" s="90">
        <v>22</v>
      </c>
      <c r="B30" s="104" t="s">
        <v>98</v>
      </c>
      <c r="C30" s="92" t="s">
        <v>50</v>
      </c>
      <c r="D30" s="93" t="s">
        <v>97</v>
      </c>
      <c r="E30" s="110">
        <v>2750</v>
      </c>
      <c r="F30" s="95" t="s">
        <v>21</v>
      </c>
      <c r="G30" s="92">
        <v>4</v>
      </c>
      <c r="H30" s="96">
        <f>IF($G30="","",INDEX('1. závod'!$A:$AN,$G30+3,INDEX('Základní list'!$B:$B,MATCH($F30,'Základní list'!$A:$A,0),1)))</f>
        <v>60</v>
      </c>
      <c r="I30" s="97">
        <f>IF($G30="","",INDEX('1. závod'!$A:$AM,$G30+3,INDEX('Základní list'!$B:$B,MATCH($F30,'Základní list'!$A:$A,0),1)+2))</f>
        <v>3</v>
      </c>
      <c r="J30" s="90" t="s">
        <v>20</v>
      </c>
      <c r="K30" s="98">
        <v>10</v>
      </c>
      <c r="L30" s="99">
        <f>IF($K30="","",INDEX('2. závod'!$A:$AV,$K30+3,INDEX('Základní list'!$B:$B,MATCH($J30,'Základní list'!$A:$A,0),1)))</f>
        <v>0</v>
      </c>
      <c r="M30" s="100">
        <f>IF($K30="","",INDEX('2. závod'!$A:$AV,$K30+3,INDEX('Základní list'!$B:$B,MATCH($J30,'Základní list'!$A:$A,0),1)+2))</f>
        <v>7</v>
      </c>
      <c r="N30" s="101">
        <f t="shared" si="0"/>
        <v>60</v>
      </c>
      <c r="O30" s="102">
        <f t="shared" si="1"/>
        <v>10</v>
      </c>
      <c r="P30" s="103">
        <v>22</v>
      </c>
      <c r="Q30" s="37" t="str">
        <f t="shared" si="2"/>
        <v>E4</v>
      </c>
      <c r="R30" s="37" t="str">
        <f t="shared" si="3"/>
        <v>D10</v>
      </c>
      <c r="S30" s="37">
        <f t="shared" si="4"/>
        <v>2</v>
      </c>
    </row>
    <row r="31" spans="1:19" s="16" customFormat="1" ht="18" customHeight="1">
      <c r="A31" s="90">
        <v>23</v>
      </c>
      <c r="B31" s="30" t="s">
        <v>140</v>
      </c>
      <c r="C31" s="31" t="s">
        <v>50</v>
      </c>
      <c r="D31" s="32" t="s">
        <v>144</v>
      </c>
      <c r="E31" s="109">
        <v>99</v>
      </c>
      <c r="F31" s="33" t="s">
        <v>22</v>
      </c>
      <c r="G31" s="31">
        <v>5</v>
      </c>
      <c r="H31" s="24">
        <f>IF($G31="","",INDEX('1. závod'!$A:$AN,$G31+3,INDEX('Základní list'!$B:$B,MATCH($F31,'Základní list'!$A:$A,0),1)))</f>
        <v>20</v>
      </c>
      <c r="I31" s="20">
        <f>IF($G31="","",INDEX('1. závod'!$A:$AM,$G31+3,INDEX('Základní list'!$B:$B,MATCH($F31,'Základní list'!$A:$A,0),1)+2))</f>
        <v>4</v>
      </c>
      <c r="J31" s="28" t="s">
        <v>22</v>
      </c>
      <c r="K31" s="29">
        <v>10</v>
      </c>
      <c r="L31" s="61">
        <f>IF($K31="","",INDEX('2. závod'!$A:$AV,$K31+3,INDEX('Základní list'!$B:$B,MATCH($J31,'Základní list'!$A:$A,0),1)))</f>
        <v>0</v>
      </c>
      <c r="M31" s="62">
        <f>IF($K31="","",INDEX('2. závod'!$A:$AV,$K31+3,INDEX('Základní list'!$B:$B,MATCH($J31,'Základní list'!$A:$A,0),1)+2))</f>
        <v>6</v>
      </c>
      <c r="N31" s="26">
        <f t="shared" si="0"/>
        <v>20</v>
      </c>
      <c r="O31" s="102">
        <f t="shared" si="1"/>
        <v>10</v>
      </c>
      <c r="P31" s="103">
        <v>23</v>
      </c>
      <c r="Q31" s="37" t="str">
        <f t="shared" si="2"/>
        <v>C5</v>
      </c>
      <c r="R31" s="37" t="str">
        <f t="shared" si="3"/>
        <v>C10</v>
      </c>
      <c r="S31" s="37">
        <f t="shared" si="4"/>
        <v>2</v>
      </c>
    </row>
    <row r="32" spans="1:19" ht="18" customHeight="1">
      <c r="A32" s="90">
        <v>24</v>
      </c>
      <c r="B32" s="30" t="s">
        <v>150</v>
      </c>
      <c r="C32" s="31" t="s">
        <v>50</v>
      </c>
      <c r="D32" s="32" t="s">
        <v>152</v>
      </c>
      <c r="E32" s="110">
        <v>2373</v>
      </c>
      <c r="F32" s="33" t="s">
        <v>24</v>
      </c>
      <c r="G32" s="31">
        <v>4</v>
      </c>
      <c r="H32" s="24">
        <f>IF($G32="","",INDEX('1. závod'!$A:$AN,$G32+3,INDEX('Základní list'!$B:$B,MATCH($F32,'Základní list'!$A:$A,0),1)))</f>
        <v>0</v>
      </c>
      <c r="I32" s="20">
        <f>IF($G32="","",INDEX('1. závod'!$A:$AM,$G32+3,INDEX('Základní list'!$B:$B,MATCH($F32,'Základní list'!$A:$A,0),1)+2))</f>
        <v>7.5</v>
      </c>
      <c r="J32" s="28" t="s">
        <v>21</v>
      </c>
      <c r="K32" s="29">
        <v>8</v>
      </c>
      <c r="L32" s="61">
        <f>IF($K32="","",INDEX('2. závod'!$A:$AV,$K32+3,INDEX('Základní list'!$B:$B,MATCH($J32,'Základní list'!$A:$A,0),1)))</f>
        <v>120</v>
      </c>
      <c r="M32" s="62">
        <f>IF($K32="","",INDEX('2. závod'!$A:$AV,$K32+3,INDEX('Základní list'!$B:$B,MATCH($J32,'Základní list'!$A:$A,0),1)+2))</f>
        <v>3</v>
      </c>
      <c r="N32" s="26">
        <f t="shared" si="0"/>
        <v>120</v>
      </c>
      <c r="O32" s="60">
        <f t="shared" si="1"/>
        <v>10.5</v>
      </c>
      <c r="P32" s="103">
        <f>IF($N32="","",RANK(O32,O:O,1))</f>
        <v>24</v>
      </c>
      <c r="Q32" s="37" t="str">
        <f t="shared" si="2"/>
        <v>F4</v>
      </c>
      <c r="R32" s="37" t="str">
        <f t="shared" si="3"/>
        <v>E8</v>
      </c>
      <c r="S32" s="37">
        <f t="shared" si="4"/>
        <v>2</v>
      </c>
    </row>
    <row r="33" spans="1:19" s="16" customFormat="1" ht="18" customHeight="1">
      <c r="A33" s="90">
        <v>25</v>
      </c>
      <c r="B33" s="30" t="s">
        <v>176</v>
      </c>
      <c r="C33" s="159" t="s">
        <v>50</v>
      </c>
      <c r="D33" s="32" t="s">
        <v>163</v>
      </c>
      <c r="E33" s="94">
        <v>3082</v>
      </c>
      <c r="F33" s="33" t="s">
        <v>19</v>
      </c>
      <c r="G33" s="31">
        <v>6</v>
      </c>
      <c r="H33" s="24">
        <f>IF($G33="","",INDEX('1. závod'!$A:$AN,$G33+3,INDEX('Základní list'!$B:$B,MATCH($F33,'Základní list'!$A:$A,0),1)))</f>
        <v>0</v>
      </c>
      <c r="I33" s="20">
        <f>IF($G33="","",INDEX('1. závod'!$A:$AM,$G33+3,INDEX('Základní list'!$B:$B,MATCH($F33,'Základní list'!$A:$A,0),1)+2))</f>
        <v>8.5</v>
      </c>
      <c r="J33" s="28" t="s">
        <v>20</v>
      </c>
      <c r="K33" s="29">
        <v>6</v>
      </c>
      <c r="L33" s="61">
        <f>IF($K33="","",INDEX('2. závod'!$A:$AV,$K33+3,INDEX('Základní list'!$B:$B,MATCH($J33,'Základní list'!$A:$A,0),1)))</f>
        <v>100</v>
      </c>
      <c r="M33" s="62">
        <f>IF($K33="","",INDEX('2. závod'!$A:$AV,$K33+3,INDEX('Základní list'!$B:$B,MATCH($J33,'Základní list'!$A:$A,0),1)+2))</f>
        <v>2</v>
      </c>
      <c r="N33" s="26">
        <f t="shared" si="0"/>
        <v>100</v>
      </c>
      <c r="O33" s="60">
        <f t="shared" si="1"/>
        <v>10.5</v>
      </c>
      <c r="P33" s="103">
        <v>25</v>
      </c>
      <c r="Q33" s="37" t="str">
        <f t="shared" si="2"/>
        <v>A6</v>
      </c>
      <c r="R33" s="37" t="str">
        <f t="shared" si="3"/>
        <v>D6</v>
      </c>
      <c r="S33" s="37">
        <f t="shared" si="4"/>
        <v>2</v>
      </c>
    </row>
    <row r="34" spans="1:19" ht="18" customHeight="1">
      <c r="A34" s="90">
        <v>26</v>
      </c>
      <c r="B34" s="91" t="s">
        <v>174</v>
      </c>
      <c r="C34" s="92" t="s">
        <v>50</v>
      </c>
      <c r="D34" s="93" t="s">
        <v>79</v>
      </c>
      <c r="E34" s="109">
        <v>2315</v>
      </c>
      <c r="F34" s="95" t="s">
        <v>24</v>
      </c>
      <c r="G34" s="92">
        <v>8</v>
      </c>
      <c r="H34" s="96">
        <f>IF($G34="","",INDEX('1. závod'!$A:$AN,$G34+3,INDEX('Základní list'!$B:$B,MATCH($F34,'Základní list'!$A:$A,0),1)))</f>
        <v>780</v>
      </c>
      <c r="I34" s="97">
        <f>IF($G34="","",INDEX('1. závod'!$A:$AM,$G34+3,INDEX('Základní list'!$B:$B,MATCH($F34,'Základní list'!$A:$A,0),1)+2))</f>
        <v>3</v>
      </c>
      <c r="J34" s="90" t="s">
        <v>21</v>
      </c>
      <c r="K34" s="98">
        <v>5</v>
      </c>
      <c r="L34" s="99">
        <f>IF($K34="","",INDEX('2. závod'!$A:$AV,$K34+3,INDEX('Základní list'!$B:$B,MATCH($J34,'Základní list'!$A:$A,0),1)))</f>
        <v>0</v>
      </c>
      <c r="M34" s="100">
        <f>IF($K34="","",INDEX('2. závod'!$A:$AV,$K34+3,INDEX('Základní list'!$B:$B,MATCH($J34,'Základní list'!$A:$A,0),1)+2))</f>
        <v>8</v>
      </c>
      <c r="N34" s="101">
        <f t="shared" si="0"/>
        <v>780</v>
      </c>
      <c r="O34" s="102">
        <f t="shared" si="1"/>
        <v>11</v>
      </c>
      <c r="P34" s="103">
        <f>IF($N34="","",RANK(O34,O:O,1))</f>
        <v>26</v>
      </c>
      <c r="Q34" s="37" t="str">
        <f t="shared" si="2"/>
        <v>F8</v>
      </c>
      <c r="R34" s="37" t="str">
        <f t="shared" si="3"/>
        <v>E5</v>
      </c>
      <c r="S34" s="37">
        <f t="shared" si="4"/>
        <v>2</v>
      </c>
    </row>
    <row r="35" spans="1:19" ht="18" customHeight="1">
      <c r="A35" s="90">
        <v>27</v>
      </c>
      <c r="B35" s="30" t="s">
        <v>159</v>
      </c>
      <c r="C35" s="31" t="s">
        <v>50</v>
      </c>
      <c r="D35" s="32" t="s">
        <v>162</v>
      </c>
      <c r="E35" s="110">
        <v>16</v>
      </c>
      <c r="F35" s="33" t="s">
        <v>22</v>
      </c>
      <c r="G35" s="31">
        <v>1</v>
      </c>
      <c r="H35" s="24">
        <f>IF($G35="","",INDEX('1. závod'!$A:$AN,$G35+3,INDEX('Základní list'!$B:$B,MATCH($F35,'Základní list'!$A:$A,0),1)))</f>
        <v>180</v>
      </c>
      <c r="I35" s="20">
        <f>IF($G35="","",INDEX('1. závod'!$A:$AM,$G35+3,INDEX('Základní list'!$B:$B,MATCH($F35,'Základní list'!$A:$A,0),1)+2))</f>
        <v>3</v>
      </c>
      <c r="J35" s="28" t="s">
        <v>21</v>
      </c>
      <c r="K35" s="29">
        <v>7</v>
      </c>
      <c r="L35" s="61">
        <f>IF($K35="","",INDEX('2. závod'!$A:$AV,$K35+3,INDEX('Základní list'!$B:$B,MATCH($J35,'Základní list'!$A:$A,0),1)))</f>
        <v>0</v>
      </c>
      <c r="M35" s="62">
        <f>IF($K35="","",INDEX('2. závod'!$A:$AV,$K35+3,INDEX('Základní list'!$B:$B,MATCH($J35,'Základní list'!$A:$A,0),1)+2))</f>
        <v>8</v>
      </c>
      <c r="N35" s="26">
        <f t="shared" si="0"/>
        <v>180</v>
      </c>
      <c r="O35" s="102">
        <f t="shared" si="1"/>
        <v>11</v>
      </c>
      <c r="P35" s="103">
        <v>27</v>
      </c>
      <c r="Q35" s="37" t="str">
        <f t="shared" si="2"/>
        <v>C1</v>
      </c>
      <c r="R35" s="37" t="str">
        <f t="shared" si="3"/>
        <v>E7</v>
      </c>
      <c r="S35" s="37">
        <f t="shared" si="4"/>
        <v>2</v>
      </c>
    </row>
    <row r="36" spans="1:19" s="16" customFormat="1" ht="18" customHeight="1">
      <c r="A36" s="90">
        <v>28</v>
      </c>
      <c r="B36" s="30" t="s">
        <v>141</v>
      </c>
      <c r="C36" s="31" t="s">
        <v>50</v>
      </c>
      <c r="D36" s="32" t="s">
        <v>143</v>
      </c>
      <c r="E36" s="110">
        <v>234</v>
      </c>
      <c r="F36" s="33" t="s">
        <v>21</v>
      </c>
      <c r="G36" s="31">
        <v>7</v>
      </c>
      <c r="H36" s="24">
        <f>IF($G36="","",INDEX('1. závod'!$A:$AN,$G36+3,INDEX('Základní list'!$B:$B,MATCH($F36,'Základní list'!$A:$A,0),1)))</f>
        <v>0</v>
      </c>
      <c r="I36" s="20">
        <f>IF($G36="","",INDEX('1. závod'!$A:$AM,$G36+3,INDEX('Základní list'!$B:$B,MATCH($F36,'Základní list'!$A:$A,0),1)+2))</f>
        <v>7</v>
      </c>
      <c r="J36" s="28" t="s">
        <v>21</v>
      </c>
      <c r="K36" s="29">
        <v>3</v>
      </c>
      <c r="L36" s="61">
        <f>IF($K36="","",INDEX('2. závod'!$A:$AV,$K36+3,INDEX('Základní list'!$B:$B,MATCH($J36,'Základní list'!$A:$A,0),1)))</f>
        <v>60</v>
      </c>
      <c r="M36" s="62">
        <f>IF($K36="","",INDEX('2. závod'!$A:$AV,$K36+3,INDEX('Základní list'!$B:$B,MATCH($J36,'Základní list'!$A:$A,0),1)+2))</f>
        <v>4</v>
      </c>
      <c r="N36" s="26">
        <f t="shared" si="0"/>
        <v>60</v>
      </c>
      <c r="O36" s="102">
        <f t="shared" si="1"/>
        <v>11</v>
      </c>
      <c r="P36" s="67">
        <v>28</v>
      </c>
      <c r="Q36" s="37" t="str">
        <f t="shared" si="2"/>
        <v>E7</v>
      </c>
      <c r="R36" s="37" t="str">
        <f t="shared" si="3"/>
        <v>E3</v>
      </c>
      <c r="S36" s="37">
        <f t="shared" si="4"/>
        <v>2</v>
      </c>
    </row>
    <row r="37" spans="1:19" ht="18" customHeight="1">
      <c r="A37" s="90">
        <v>29</v>
      </c>
      <c r="B37" s="30" t="s">
        <v>158</v>
      </c>
      <c r="C37" s="31" t="s">
        <v>50</v>
      </c>
      <c r="D37" s="32" t="s">
        <v>74</v>
      </c>
      <c r="E37" s="109">
        <v>2273</v>
      </c>
      <c r="F37" s="33" t="s">
        <v>19</v>
      </c>
      <c r="G37" s="31">
        <v>7</v>
      </c>
      <c r="H37" s="24">
        <f>IF($G37="","",INDEX('1. závod'!$A:$AN,$G37+3,INDEX('Základní list'!$B:$B,MATCH($F37,'Základní list'!$A:$A,0),1)))</f>
        <v>180</v>
      </c>
      <c r="I37" s="20">
        <f>IF($G37="","",INDEX('1. závod'!$A:$AM,$G37+3,INDEX('Základní list'!$B:$B,MATCH($F37,'Základní list'!$A:$A,0),1)+2))</f>
        <v>6</v>
      </c>
      <c r="J37" s="28" t="s">
        <v>23</v>
      </c>
      <c r="K37" s="29">
        <v>2</v>
      </c>
      <c r="L37" s="61">
        <f>IF($K37="","",INDEX('2. závod'!$A:$AV,$K37+3,INDEX('Základní list'!$B:$B,MATCH($J37,'Základní list'!$A:$A,0),1)))</f>
        <v>0</v>
      </c>
      <c r="M37" s="62">
        <f>IF($K37="","",INDEX('2. závod'!$A:$AV,$K37+3,INDEX('Základní list'!$B:$B,MATCH($J37,'Základní list'!$A:$A,0),1)+2))</f>
        <v>5.5</v>
      </c>
      <c r="N37" s="26">
        <f t="shared" si="0"/>
        <v>180</v>
      </c>
      <c r="O37" s="60">
        <f t="shared" si="1"/>
        <v>11.5</v>
      </c>
      <c r="P37" s="67">
        <f>IF($N37="","",RANK(O37,O:O,1))</f>
        <v>29</v>
      </c>
      <c r="Q37" s="37" t="str">
        <f t="shared" si="2"/>
        <v>A7</v>
      </c>
      <c r="R37" s="37" t="str">
        <f t="shared" si="3"/>
        <v>B2</v>
      </c>
      <c r="S37" s="37">
        <f t="shared" si="4"/>
        <v>2</v>
      </c>
    </row>
    <row r="38" spans="1:19" s="16" customFormat="1" ht="18" customHeight="1">
      <c r="A38" s="90">
        <v>30</v>
      </c>
      <c r="B38" s="156" t="s">
        <v>122</v>
      </c>
      <c r="C38" s="31" t="s">
        <v>50</v>
      </c>
      <c r="D38" s="32" t="s">
        <v>123</v>
      </c>
      <c r="E38" s="110">
        <v>2259</v>
      </c>
      <c r="F38" s="33" t="s">
        <v>22</v>
      </c>
      <c r="G38" s="31">
        <v>2</v>
      </c>
      <c r="H38" s="24">
        <f>IF($G38="","",INDEX('1. závod'!$A:$AN,$G38+3,INDEX('Základní list'!$B:$B,MATCH($F38,'Základní list'!$A:$A,0),1)))</f>
        <v>0</v>
      </c>
      <c r="I38" s="20">
        <f>IF($G38="","",INDEX('1. závod'!$A:$AM,$G38+3,INDEX('Základní list'!$B:$B,MATCH($F38,'Základní list'!$A:$A,0),1)+2))</f>
        <v>7.5</v>
      </c>
      <c r="J38" s="28" t="s">
        <v>19</v>
      </c>
      <c r="K38" s="29">
        <v>1</v>
      </c>
      <c r="L38" s="61">
        <f>IF($K38="","",INDEX('2. závod'!$A:$AV,$K38+3,INDEX('Základní list'!$B:$B,MATCH($J38,'Základní list'!$A:$A,0),1)))</f>
        <v>120</v>
      </c>
      <c r="M38" s="62">
        <f>IF($K38="","",INDEX('2. závod'!$A:$AV,$K38+3,INDEX('Základní list'!$B:$B,MATCH($J38,'Základní list'!$A:$A,0),1)+2))</f>
        <v>4</v>
      </c>
      <c r="N38" s="26">
        <f t="shared" si="0"/>
        <v>120</v>
      </c>
      <c r="O38" s="60">
        <f t="shared" si="1"/>
        <v>11.5</v>
      </c>
      <c r="P38" s="67">
        <v>30</v>
      </c>
      <c r="Q38" s="37" t="str">
        <f t="shared" si="2"/>
        <v>C2</v>
      </c>
      <c r="R38" s="37" t="str">
        <f t="shared" si="3"/>
        <v>A1</v>
      </c>
      <c r="S38" s="37">
        <f t="shared" si="4"/>
        <v>2</v>
      </c>
    </row>
    <row r="39" spans="1:19" ht="18" customHeight="1">
      <c r="A39" s="90">
        <v>31</v>
      </c>
      <c r="B39" s="157" t="s">
        <v>115</v>
      </c>
      <c r="C39" s="92" t="s">
        <v>50</v>
      </c>
      <c r="D39" s="93" t="s">
        <v>117</v>
      </c>
      <c r="E39" s="109">
        <v>2327</v>
      </c>
      <c r="F39" s="95" t="s">
        <v>19</v>
      </c>
      <c r="G39" s="92">
        <v>1</v>
      </c>
      <c r="H39" s="96">
        <f>IF($G39="","",INDEX('1. závod'!$A:$AN,$G39+3,INDEX('Základní list'!$B:$B,MATCH($F39,'Základní list'!$A:$A,0),1)))</f>
        <v>440</v>
      </c>
      <c r="I39" s="97">
        <f>IF($G39="","",INDEX('1. závod'!$A:$AM,$G39+3,INDEX('Základní list'!$B:$B,MATCH($F39,'Základní list'!$A:$A,0),1)+2))</f>
        <v>4</v>
      </c>
      <c r="J39" s="90" t="s">
        <v>21</v>
      </c>
      <c r="K39" s="98">
        <v>4</v>
      </c>
      <c r="L39" s="99">
        <f>IF($K39="","",INDEX('2. závod'!$A:$AV,$K39+3,INDEX('Základní list'!$B:$B,MATCH($J39,'Základní list'!$A:$A,0),1)))</f>
        <v>0</v>
      </c>
      <c r="M39" s="100">
        <f>IF($K39="","",INDEX('2. závod'!$A:$AV,$K39+3,INDEX('Základní list'!$B:$B,MATCH($J39,'Základní list'!$A:$A,0),1)+2))</f>
        <v>8</v>
      </c>
      <c r="N39" s="101">
        <f t="shared" si="0"/>
        <v>440</v>
      </c>
      <c r="O39" s="60">
        <f t="shared" si="1"/>
        <v>12</v>
      </c>
      <c r="P39" s="67">
        <f>IF($N39="","",RANK(O39,O:O,1))</f>
        <v>31</v>
      </c>
      <c r="Q39" s="37" t="str">
        <f t="shared" si="2"/>
        <v>A1</v>
      </c>
      <c r="R39" s="37" t="str">
        <f t="shared" si="3"/>
        <v>E4</v>
      </c>
      <c r="S39" s="37">
        <f t="shared" si="4"/>
        <v>2</v>
      </c>
    </row>
    <row r="40" spans="1:19" ht="18" customHeight="1">
      <c r="A40" s="90">
        <v>32</v>
      </c>
      <c r="B40" s="30" t="s">
        <v>137</v>
      </c>
      <c r="C40" s="31" t="s">
        <v>50</v>
      </c>
      <c r="D40" s="32" t="s">
        <v>74</v>
      </c>
      <c r="E40" s="110">
        <v>1080</v>
      </c>
      <c r="F40" s="33" t="s">
        <v>23</v>
      </c>
      <c r="G40" s="31">
        <v>9</v>
      </c>
      <c r="H40" s="24">
        <f>IF($G40="","",INDEX('1. závod'!$A:$AN,$G40+3,INDEX('Základní list'!$B:$B,MATCH($F40,'Základní list'!$A:$A,0),1)))</f>
        <v>0</v>
      </c>
      <c r="I40" s="20">
        <f>IF($G40="","",INDEX('1. závod'!$A:$AM,$G40+3,INDEX('Základní list'!$B:$B,MATCH($F40,'Základní list'!$A:$A,0),1)+2))</f>
        <v>7</v>
      </c>
      <c r="J40" s="28" t="s">
        <v>24</v>
      </c>
      <c r="K40" s="29">
        <v>8</v>
      </c>
      <c r="L40" s="61">
        <f>IF($K40="","",INDEX('2. závod'!$A:$AV,$K40+3,INDEX('Základní list'!$B:$B,MATCH($J40,'Základní list'!$A:$A,0),1)))</f>
        <v>420</v>
      </c>
      <c r="M40" s="62">
        <f>IF($K40="","",INDEX('2. závod'!$A:$AV,$K40+3,INDEX('Základní list'!$B:$B,MATCH($J40,'Základní list'!$A:$A,0),1)+2))</f>
        <v>5</v>
      </c>
      <c r="N40" s="26">
        <f t="shared" si="0"/>
        <v>420</v>
      </c>
      <c r="O40" s="102">
        <f t="shared" si="1"/>
        <v>12</v>
      </c>
      <c r="P40" s="67">
        <v>32</v>
      </c>
      <c r="Q40" s="37" t="str">
        <f t="shared" si="2"/>
        <v>B9</v>
      </c>
      <c r="R40" s="37" t="str">
        <f t="shared" si="3"/>
        <v>F8</v>
      </c>
      <c r="S40" s="37">
        <f t="shared" si="4"/>
        <v>2</v>
      </c>
    </row>
    <row r="41" spans="1:19" s="16" customFormat="1" ht="18" customHeight="1">
      <c r="A41" s="90">
        <v>33</v>
      </c>
      <c r="B41" s="156" t="s">
        <v>73</v>
      </c>
      <c r="C41" s="92" t="s">
        <v>50</v>
      </c>
      <c r="D41" s="117" t="s">
        <v>74</v>
      </c>
      <c r="E41" s="109">
        <v>1126</v>
      </c>
      <c r="F41" s="95" t="s">
        <v>20</v>
      </c>
      <c r="G41" s="92">
        <v>6</v>
      </c>
      <c r="H41" s="96">
        <f>IF($G41="","",INDEX('1. závod'!$A:$AN,$G41+3,INDEX('Základní list'!$B:$B,MATCH($F41,'Základní list'!$A:$A,0),1)))</f>
        <v>0</v>
      </c>
      <c r="I41" s="97">
        <f>IF($G41="","",INDEX('1. závod'!$A:$AM,$G41+3,INDEX('Základní list'!$B:$B,MATCH($F41,'Základní list'!$A:$A,0),1)+2))</f>
        <v>7</v>
      </c>
      <c r="J41" s="90" t="s">
        <v>19</v>
      </c>
      <c r="K41" s="98">
        <v>6</v>
      </c>
      <c r="L41" s="99">
        <f>IF($K41="","",INDEX('2. závod'!$A:$AV,$K41+3,INDEX('Základní list'!$B:$B,MATCH($J41,'Základní list'!$A:$A,0),1)))</f>
        <v>60</v>
      </c>
      <c r="M41" s="100">
        <f>IF($K41="","",INDEX('2. závod'!$A:$AV,$K41+3,INDEX('Základní list'!$B:$B,MATCH($J41,'Základní list'!$A:$A,0),1)+2))</f>
        <v>5</v>
      </c>
      <c r="N41" s="101">
        <f aca="true" t="shared" si="5" ref="N41:N68">IF($K41="","",SUM(H41,L41))</f>
        <v>60</v>
      </c>
      <c r="O41" s="60">
        <f aca="true" t="shared" si="6" ref="O41:O68">IF($K41="","",SUM(I41,M41))</f>
        <v>12</v>
      </c>
      <c r="P41" s="67">
        <v>33</v>
      </c>
      <c r="Q41" s="37" t="str">
        <f aca="true" t="shared" si="7" ref="Q41:Q68">CONCATENATE(F41,G41)</f>
        <v>D6</v>
      </c>
      <c r="R41" s="37" t="str">
        <f aca="true" t="shared" si="8" ref="R41:R68">CONCATENATE(J41,K41)</f>
        <v>A6</v>
      </c>
      <c r="S41" s="37">
        <f aca="true" t="shared" si="9" ref="S41:S68">COUNT(I41,M41)</f>
        <v>2</v>
      </c>
    </row>
    <row r="42" spans="1:19" ht="18" customHeight="1">
      <c r="A42" s="90">
        <v>34</v>
      </c>
      <c r="B42" s="30" t="s">
        <v>170</v>
      </c>
      <c r="C42" s="159" t="s">
        <v>50</v>
      </c>
      <c r="D42" s="32" t="s">
        <v>163</v>
      </c>
      <c r="E42" s="94">
        <v>2637</v>
      </c>
      <c r="F42" s="28" t="s">
        <v>21</v>
      </c>
      <c r="G42" s="29">
        <v>8</v>
      </c>
      <c r="H42" s="24">
        <f>IF($G42="","",INDEX('1. závod'!$A:$AN,$G42+3,INDEX('Základní list'!$B:$B,MATCH($F42,'Základní list'!$A:$A,0),1)))</f>
        <v>0</v>
      </c>
      <c r="I42" s="20">
        <f>IF($G42="","",INDEX('1. závod'!$A:$AM,$G42+3,INDEX('Základní list'!$B:$B,MATCH($F42,'Základní list'!$A:$A,0),1)+2))</f>
        <v>7</v>
      </c>
      <c r="J42" s="28" t="s">
        <v>21</v>
      </c>
      <c r="K42" s="29">
        <v>9</v>
      </c>
      <c r="L42" s="61">
        <f>IF($K42="","",INDEX('2. závod'!$A:$AV,$K42+3,INDEX('Základní list'!$B:$B,MATCH($J42,'Základní list'!$A:$A,0),1)))</f>
        <v>40</v>
      </c>
      <c r="M42" s="62">
        <f>IF($K42="","",INDEX('2. závod'!$A:$AV,$K42+3,INDEX('Základní list'!$B:$B,MATCH($J42,'Základní list'!$A:$A,0),1)+2))</f>
        <v>5</v>
      </c>
      <c r="N42" s="26">
        <f t="shared" si="5"/>
        <v>40</v>
      </c>
      <c r="O42" s="60">
        <f t="shared" si="6"/>
        <v>12</v>
      </c>
      <c r="P42" s="67">
        <v>34</v>
      </c>
      <c r="Q42" s="37" t="str">
        <f t="shared" si="7"/>
        <v>E8</v>
      </c>
      <c r="R42" s="37" t="str">
        <f t="shared" si="8"/>
        <v>E9</v>
      </c>
      <c r="S42" s="37">
        <f t="shared" si="9"/>
        <v>2</v>
      </c>
    </row>
    <row r="43" spans="1:19" ht="18" customHeight="1">
      <c r="A43" s="90">
        <v>35</v>
      </c>
      <c r="B43" s="104" t="s">
        <v>99</v>
      </c>
      <c r="C43" s="92" t="s">
        <v>50</v>
      </c>
      <c r="D43" s="93" t="s">
        <v>97</v>
      </c>
      <c r="E43" s="109">
        <v>2290</v>
      </c>
      <c r="F43" s="95" t="s">
        <v>20</v>
      </c>
      <c r="G43" s="92">
        <v>4</v>
      </c>
      <c r="H43" s="96">
        <f>IF($G43="","",INDEX('1. závod'!$A:$AN,$G43+3,INDEX('Základní list'!$B:$B,MATCH($F43,'Základní list'!$A:$A,0),1)))</f>
        <v>0</v>
      </c>
      <c r="I43" s="97">
        <f>IF($G43="","",INDEX('1. závod'!$A:$AM,$G43+3,INDEX('Základní list'!$B:$B,MATCH($F43,'Základní list'!$A:$A,0),1)+2))</f>
        <v>7</v>
      </c>
      <c r="J43" s="90" t="s">
        <v>23</v>
      </c>
      <c r="K43" s="98">
        <v>5</v>
      </c>
      <c r="L43" s="99">
        <f>IF($K43="","",INDEX('2. závod'!$A:$AV,$K43+3,INDEX('Základní list'!$B:$B,MATCH($J43,'Základní list'!$A:$A,0),1)))</f>
        <v>0</v>
      </c>
      <c r="M43" s="100">
        <f>IF($K43="","",INDEX('2. závod'!$A:$AV,$K43+3,INDEX('Základní list'!$B:$B,MATCH($J43,'Základní list'!$A:$A,0),1)+2))</f>
        <v>5.5</v>
      </c>
      <c r="N43" s="101">
        <f t="shared" si="5"/>
        <v>0</v>
      </c>
      <c r="O43" s="102">
        <f t="shared" si="6"/>
        <v>12.5</v>
      </c>
      <c r="P43" s="67">
        <f>IF($N43="","",RANK(O43,O:O,1))</f>
        <v>35</v>
      </c>
      <c r="Q43" s="37" t="str">
        <f t="shared" si="7"/>
        <v>D4</v>
      </c>
      <c r="R43" s="37" t="str">
        <f t="shared" si="8"/>
        <v>B5</v>
      </c>
      <c r="S43" s="37">
        <f t="shared" si="9"/>
        <v>2</v>
      </c>
    </row>
    <row r="44" spans="1:19" s="16" customFormat="1" ht="18" customHeight="1">
      <c r="A44" s="90">
        <v>36</v>
      </c>
      <c r="B44" s="104" t="s">
        <v>106</v>
      </c>
      <c r="C44" s="92" t="s">
        <v>50</v>
      </c>
      <c r="D44" s="93" t="s">
        <v>103</v>
      </c>
      <c r="E44" s="110">
        <v>2301</v>
      </c>
      <c r="F44" s="95" t="s">
        <v>21</v>
      </c>
      <c r="G44" s="92">
        <v>10</v>
      </c>
      <c r="H44" s="96">
        <f>IF($G44="","",INDEX('1. závod'!$A:$AN,$G44+3,INDEX('Základní list'!$B:$B,MATCH($F44,'Základní list'!$A:$A,0),1)))</f>
        <v>0</v>
      </c>
      <c r="I44" s="97">
        <f>IF($G44="","",INDEX('1. závod'!$A:$AM,$G44+3,INDEX('Základní list'!$B:$B,MATCH($F44,'Základní list'!$A:$A,0),1)+2))</f>
        <v>7</v>
      </c>
      <c r="J44" s="90" t="s">
        <v>23</v>
      </c>
      <c r="K44" s="98">
        <v>8</v>
      </c>
      <c r="L44" s="99">
        <f>IF($K44="","",INDEX('2. závod'!$A:$AV,$K44+3,INDEX('Základní list'!$B:$B,MATCH($J44,'Základní list'!$A:$A,0),1)))</f>
        <v>0</v>
      </c>
      <c r="M44" s="100">
        <f>IF($K44="","",INDEX('2. závod'!$A:$AV,$K44+3,INDEX('Základní list'!$B:$B,MATCH($J44,'Základní list'!$A:$A,0),1)+2))</f>
        <v>5.5</v>
      </c>
      <c r="N44" s="101">
        <f t="shared" si="5"/>
        <v>0</v>
      </c>
      <c r="O44" s="60">
        <f t="shared" si="6"/>
        <v>12.5</v>
      </c>
      <c r="P44" s="67">
        <v>36</v>
      </c>
      <c r="Q44" s="37" t="str">
        <f t="shared" si="7"/>
        <v>E10</v>
      </c>
      <c r="R44" s="37" t="str">
        <f t="shared" si="8"/>
        <v>B8</v>
      </c>
      <c r="S44" s="37">
        <f t="shared" si="9"/>
        <v>2</v>
      </c>
    </row>
    <row r="45" spans="1:19" ht="18" customHeight="1">
      <c r="A45" s="90">
        <v>37</v>
      </c>
      <c r="B45" s="30" t="s">
        <v>177</v>
      </c>
      <c r="C45" s="31" t="s">
        <v>50</v>
      </c>
      <c r="D45" s="32" t="s">
        <v>154</v>
      </c>
      <c r="E45" s="109">
        <v>1863</v>
      </c>
      <c r="F45" s="33" t="s">
        <v>20</v>
      </c>
      <c r="G45" s="31">
        <v>2</v>
      </c>
      <c r="H45" s="24">
        <f>IF($G45="","",INDEX('1. závod'!$A:$AN,$G45+3,INDEX('Základní list'!$B:$B,MATCH($F45,'Základní list'!$A:$A,0),1)))</f>
        <v>0</v>
      </c>
      <c r="I45" s="20">
        <f>IF($G45="","",INDEX('1. závod'!$A:$AM,$G45+3,INDEX('Základní list'!$B:$B,MATCH($F45,'Základní list'!$A:$A,0),1)+2))</f>
        <v>7</v>
      </c>
      <c r="J45" s="28" t="s">
        <v>23</v>
      </c>
      <c r="K45" s="29">
        <v>7</v>
      </c>
      <c r="L45" s="61">
        <f>IF($K45="","",INDEX('2. závod'!$A:$AV,$K45+3,INDEX('Základní list'!$B:$B,MATCH($J45,'Základní list'!$A:$A,0),1)))</f>
        <v>0</v>
      </c>
      <c r="M45" s="62">
        <f>IF($K45="","",INDEX('2. závod'!$A:$AV,$K45+3,INDEX('Základní list'!$B:$B,MATCH($J45,'Základní list'!$A:$A,0),1)+2))</f>
        <v>5.5</v>
      </c>
      <c r="N45" s="26">
        <f t="shared" si="5"/>
        <v>0</v>
      </c>
      <c r="O45" s="60">
        <f t="shared" si="6"/>
        <v>12.5</v>
      </c>
      <c r="P45" s="67">
        <v>37</v>
      </c>
      <c r="Q45" s="37" t="str">
        <f t="shared" si="7"/>
        <v>D2</v>
      </c>
      <c r="R45" s="37" t="str">
        <f t="shared" si="8"/>
        <v>B7</v>
      </c>
      <c r="S45" s="37">
        <f t="shared" si="9"/>
        <v>2</v>
      </c>
    </row>
    <row r="46" spans="1:19" ht="18" customHeight="1" collapsed="1">
      <c r="A46" s="90">
        <v>38</v>
      </c>
      <c r="B46" s="30" t="s">
        <v>166</v>
      </c>
      <c r="C46" s="31" t="s">
        <v>50</v>
      </c>
      <c r="D46" s="32" t="s">
        <v>169</v>
      </c>
      <c r="E46" s="94">
        <v>3057</v>
      </c>
      <c r="F46" s="33" t="s">
        <v>20</v>
      </c>
      <c r="G46" s="31">
        <v>7</v>
      </c>
      <c r="H46" s="24">
        <f>IF($G46="","",INDEX('1. závod'!$A:$AN,$G46+3,INDEX('Základní list'!$B:$B,MATCH($F46,'Základní list'!$A:$A,0),1)))</f>
        <v>0</v>
      </c>
      <c r="I46" s="20">
        <f>IF($G46="","",INDEX('1. závod'!$A:$AM,$G46+3,INDEX('Základní list'!$B:$B,MATCH($F46,'Základní list'!$A:$A,0),1)+2))</f>
        <v>7</v>
      </c>
      <c r="J46" s="28" t="s">
        <v>23</v>
      </c>
      <c r="K46" s="29">
        <v>3</v>
      </c>
      <c r="L46" s="61">
        <f>IF($K46="","",INDEX('2. závod'!$A:$AV,$K46+3,INDEX('Základní list'!$B:$B,MATCH($J46,'Základní list'!$A:$A,0),1)))</f>
        <v>0</v>
      </c>
      <c r="M46" s="62">
        <f>IF($K46="","",INDEX('2. závod'!$A:$AV,$K46+3,INDEX('Základní list'!$B:$B,MATCH($J46,'Základní list'!$A:$A,0),1)+2))</f>
        <v>5.5</v>
      </c>
      <c r="N46" s="26">
        <f t="shared" si="5"/>
        <v>0</v>
      </c>
      <c r="O46" s="102">
        <f t="shared" si="6"/>
        <v>12.5</v>
      </c>
      <c r="P46" s="67">
        <v>38</v>
      </c>
      <c r="Q46" s="37" t="str">
        <f t="shared" si="7"/>
        <v>D7</v>
      </c>
      <c r="R46" s="37" t="str">
        <f t="shared" si="8"/>
        <v>B3</v>
      </c>
      <c r="S46" s="37">
        <f t="shared" si="9"/>
        <v>2</v>
      </c>
    </row>
    <row r="47" spans="1:19" ht="18" customHeight="1">
      <c r="A47" s="90">
        <v>39</v>
      </c>
      <c r="B47" s="157" t="s">
        <v>111</v>
      </c>
      <c r="C47" s="92" t="s">
        <v>50</v>
      </c>
      <c r="D47" s="93" t="s">
        <v>113</v>
      </c>
      <c r="E47" s="109">
        <v>2334</v>
      </c>
      <c r="F47" s="95" t="s">
        <v>23</v>
      </c>
      <c r="G47" s="92">
        <v>7</v>
      </c>
      <c r="H47" s="96">
        <f>IF($G47="","",INDEX('1. závod'!$A:$AN,$G47+3,INDEX('Základní list'!$B:$B,MATCH($F47,'Základní list'!$A:$A,0),1)))</f>
        <v>0</v>
      </c>
      <c r="I47" s="97">
        <f>IF($G47="","",INDEX('1. závod'!$A:$AM,$G47+3,INDEX('Základní list'!$B:$B,MATCH($F47,'Základní list'!$A:$A,0),1)+2))</f>
        <v>7</v>
      </c>
      <c r="J47" s="90" t="s">
        <v>24</v>
      </c>
      <c r="K47" s="98">
        <v>1</v>
      </c>
      <c r="L47" s="99">
        <f>IF($K47="","",INDEX('2. závod'!$A:$AV,$K47+3,INDEX('Základní list'!$B:$B,MATCH($J47,'Základní list'!$A:$A,0),1)))</f>
        <v>240</v>
      </c>
      <c r="M47" s="100">
        <f>IF($K47="","",INDEX('2. závod'!$A:$AV,$K47+3,INDEX('Základní list'!$B:$B,MATCH($J47,'Základní list'!$A:$A,0),1)+2))</f>
        <v>6</v>
      </c>
      <c r="N47" s="101">
        <f t="shared" si="5"/>
        <v>240</v>
      </c>
      <c r="O47" s="60">
        <f t="shared" si="6"/>
        <v>13</v>
      </c>
      <c r="P47" s="67">
        <f>IF($N47="","",RANK(O47,O:O,1))</f>
        <v>39</v>
      </c>
      <c r="Q47" s="37" t="str">
        <f t="shared" si="7"/>
        <v>B7</v>
      </c>
      <c r="R47" s="37" t="str">
        <f t="shared" si="8"/>
        <v>F1</v>
      </c>
      <c r="S47" s="37">
        <f t="shared" si="9"/>
        <v>2</v>
      </c>
    </row>
    <row r="48" spans="1:19" ht="18" customHeight="1">
      <c r="A48" s="90">
        <v>40</v>
      </c>
      <c r="B48" s="91" t="s">
        <v>85</v>
      </c>
      <c r="C48" s="92" t="s">
        <v>50</v>
      </c>
      <c r="D48" s="93" t="s">
        <v>87</v>
      </c>
      <c r="E48" s="110">
        <v>2317</v>
      </c>
      <c r="F48" s="95" t="s">
        <v>24</v>
      </c>
      <c r="G48" s="92">
        <v>1</v>
      </c>
      <c r="H48" s="96">
        <f>IF($G48="","",INDEX('1. závod'!$A:$AN,$G48+3,INDEX('Základní list'!$B:$B,MATCH($F48,'Základní list'!$A:$A,0),1)))</f>
        <v>0</v>
      </c>
      <c r="I48" s="97">
        <f>IF($G48="","",INDEX('1. závod'!$A:$AM,$G48+3,INDEX('Základní list'!$B:$B,MATCH($F48,'Základní list'!$A:$A,0),1)+2))</f>
        <v>7.5</v>
      </c>
      <c r="J48" s="90" t="s">
        <v>23</v>
      </c>
      <c r="K48" s="98">
        <v>10</v>
      </c>
      <c r="L48" s="99">
        <f>IF($K48="","",INDEX('2. závod'!$A:$AV,$K48+3,INDEX('Základní list'!$B:$B,MATCH($J48,'Základní list'!$A:$A,0),1)))</f>
        <v>0</v>
      </c>
      <c r="M48" s="100">
        <f>IF($K48="","",INDEX('2. závod'!$A:$AV,$K48+3,INDEX('Základní list'!$B:$B,MATCH($J48,'Základní list'!$A:$A,0),1)+2))</f>
        <v>5.5</v>
      </c>
      <c r="N48" s="101">
        <f t="shared" si="5"/>
        <v>0</v>
      </c>
      <c r="O48" s="102">
        <f t="shared" si="6"/>
        <v>13</v>
      </c>
      <c r="P48" s="67">
        <v>40</v>
      </c>
      <c r="Q48" s="37" t="str">
        <f t="shared" si="7"/>
        <v>F1</v>
      </c>
      <c r="R48" s="37" t="str">
        <f t="shared" si="8"/>
        <v>B10</v>
      </c>
      <c r="S48" s="37">
        <f t="shared" si="9"/>
        <v>2</v>
      </c>
    </row>
    <row r="49" spans="1:19" s="16" customFormat="1" ht="18" customHeight="1">
      <c r="A49" s="90">
        <v>41</v>
      </c>
      <c r="B49" s="104" t="s">
        <v>107</v>
      </c>
      <c r="C49" s="92" t="s">
        <v>50</v>
      </c>
      <c r="D49" s="93" t="s">
        <v>103</v>
      </c>
      <c r="E49" s="109">
        <v>617</v>
      </c>
      <c r="F49" s="95" t="s">
        <v>23</v>
      </c>
      <c r="G49" s="92">
        <v>5</v>
      </c>
      <c r="H49" s="96">
        <f>IF($G49="","",INDEX('1. závod'!$A:$AN,$G49+3,INDEX('Základní list'!$B:$B,MATCH($F49,'Základní list'!$A:$A,0),1)))</f>
        <v>0</v>
      </c>
      <c r="I49" s="97">
        <f>IF($G49="","",INDEX('1. závod'!$A:$AM,$G49+3,INDEX('Základní list'!$B:$B,MATCH($F49,'Základní list'!$A:$A,0),1)+2))</f>
        <v>7</v>
      </c>
      <c r="J49" s="90" t="s">
        <v>22</v>
      </c>
      <c r="K49" s="98">
        <v>8</v>
      </c>
      <c r="L49" s="99">
        <f>IF($K49="","",INDEX('2. závod'!$A:$AV,$K49+3,INDEX('Základní list'!$B:$B,MATCH($J49,'Základní list'!$A:$A,0),1)))</f>
        <v>0</v>
      </c>
      <c r="M49" s="100">
        <f>IF($K49="","",INDEX('2. závod'!$A:$AV,$K49+3,INDEX('Základní list'!$B:$B,MATCH($J49,'Základní list'!$A:$A,0),1)+2))</f>
        <v>6</v>
      </c>
      <c r="N49" s="101">
        <f t="shared" si="5"/>
        <v>0</v>
      </c>
      <c r="O49" s="102">
        <f t="shared" si="6"/>
        <v>13</v>
      </c>
      <c r="P49" s="67">
        <v>41</v>
      </c>
      <c r="Q49" s="37" t="str">
        <f t="shared" si="7"/>
        <v>B5</v>
      </c>
      <c r="R49" s="37" t="str">
        <f t="shared" si="8"/>
        <v>C8</v>
      </c>
      <c r="S49" s="37">
        <f t="shared" si="9"/>
        <v>2</v>
      </c>
    </row>
    <row r="50" spans="1:19" ht="18" customHeight="1">
      <c r="A50" s="90">
        <v>42</v>
      </c>
      <c r="B50" s="157" t="s">
        <v>109</v>
      </c>
      <c r="C50" s="92" t="s">
        <v>50</v>
      </c>
      <c r="D50" s="93" t="s">
        <v>112</v>
      </c>
      <c r="E50" s="110">
        <v>2309</v>
      </c>
      <c r="F50" s="95" t="s">
        <v>20</v>
      </c>
      <c r="G50" s="92">
        <v>8</v>
      </c>
      <c r="H50" s="96">
        <f>IF($G50="","",INDEX('1. závod'!$A:$AN,$G50+3,INDEX('Základní list'!$B:$B,MATCH($F50,'Základní list'!$A:$A,0),1)))</f>
        <v>0</v>
      </c>
      <c r="I50" s="97">
        <f>IF($G50="","",INDEX('1. závod'!$A:$AM,$G50+3,INDEX('Základní list'!$B:$B,MATCH($F50,'Základní list'!$A:$A,0),1)+2))</f>
        <v>7</v>
      </c>
      <c r="J50" s="90" t="s">
        <v>22</v>
      </c>
      <c r="K50" s="98">
        <v>2</v>
      </c>
      <c r="L50" s="99">
        <f>IF($K50="","",INDEX('2. závod'!$A:$AV,$K50+3,INDEX('Základní list'!$B:$B,MATCH($J50,'Základní list'!$A:$A,0),1)))</f>
        <v>0</v>
      </c>
      <c r="M50" s="100">
        <f>IF($K50="","",INDEX('2. závod'!$A:$AV,$K50+3,INDEX('Základní list'!$B:$B,MATCH($J50,'Základní list'!$A:$A,0),1)+2))</f>
        <v>6</v>
      </c>
      <c r="N50" s="101">
        <f t="shared" si="5"/>
        <v>0</v>
      </c>
      <c r="O50" s="102">
        <f t="shared" si="6"/>
        <v>13</v>
      </c>
      <c r="P50" s="67">
        <v>42</v>
      </c>
      <c r="Q50" s="37" t="str">
        <f t="shared" si="7"/>
        <v>D8</v>
      </c>
      <c r="R50" s="37" t="str">
        <f t="shared" si="8"/>
        <v>C2</v>
      </c>
      <c r="S50" s="37">
        <f t="shared" si="9"/>
        <v>2</v>
      </c>
    </row>
    <row r="51" spans="1:19" s="16" customFormat="1" ht="18" customHeight="1">
      <c r="A51" s="90">
        <v>43</v>
      </c>
      <c r="B51" s="156" t="s">
        <v>120</v>
      </c>
      <c r="C51" s="31" t="s">
        <v>50</v>
      </c>
      <c r="D51" s="32" t="s">
        <v>124</v>
      </c>
      <c r="E51" s="109">
        <v>2363</v>
      </c>
      <c r="F51" s="33" t="s">
        <v>21</v>
      </c>
      <c r="G51" s="31">
        <v>9</v>
      </c>
      <c r="H51" s="24">
        <f>IF($G51="","",INDEX('1. závod'!$A:$AN,$G51+3,INDEX('Základní list'!$B:$B,MATCH($F51,'Základní list'!$A:$A,0),1)))</f>
        <v>0</v>
      </c>
      <c r="I51" s="20">
        <f>IF($G51="","",INDEX('1. závod'!$A:$AM,$G51+3,INDEX('Základní list'!$B:$B,MATCH($F51,'Základní list'!$A:$A,0),1)+2))</f>
        <v>7</v>
      </c>
      <c r="J51" s="28" t="s">
        <v>22</v>
      </c>
      <c r="K51" s="29">
        <v>7</v>
      </c>
      <c r="L51" s="61">
        <f>IF($K51="","",INDEX('2. závod'!$A:$AV,$K51+3,INDEX('Základní list'!$B:$B,MATCH($J51,'Základní list'!$A:$A,0),1)))</f>
        <v>0</v>
      </c>
      <c r="M51" s="62">
        <f>IF($K51="","",INDEX('2. závod'!$A:$AV,$K51+3,INDEX('Základní list'!$B:$B,MATCH($J51,'Základní list'!$A:$A,0),1)+2))</f>
        <v>6</v>
      </c>
      <c r="N51" s="26">
        <f t="shared" si="5"/>
        <v>0</v>
      </c>
      <c r="O51" s="60">
        <f t="shared" si="6"/>
        <v>13</v>
      </c>
      <c r="P51" s="67">
        <v>43</v>
      </c>
      <c r="Q51" s="37" t="str">
        <f t="shared" si="7"/>
        <v>E9</v>
      </c>
      <c r="R51" s="37" t="str">
        <f t="shared" si="8"/>
        <v>C7</v>
      </c>
      <c r="S51" s="37">
        <f t="shared" si="9"/>
        <v>2</v>
      </c>
    </row>
    <row r="52" spans="1:19" s="16" customFormat="1" ht="18" customHeight="1">
      <c r="A52" s="90">
        <v>44</v>
      </c>
      <c r="B52" s="30" t="s">
        <v>136</v>
      </c>
      <c r="C52" s="31" t="s">
        <v>50</v>
      </c>
      <c r="D52" s="32" t="s">
        <v>138</v>
      </c>
      <c r="E52" s="110">
        <v>1129</v>
      </c>
      <c r="F52" s="33" t="s">
        <v>22</v>
      </c>
      <c r="G52" s="31">
        <v>10</v>
      </c>
      <c r="H52" s="24">
        <f>IF($G52="","",INDEX('1. závod'!$A:$AN,$G52+3,INDEX('Základní list'!$B:$B,MATCH($F52,'Základní list'!$A:$A,0),1)))</f>
        <v>0</v>
      </c>
      <c r="I52" s="20">
        <f>IF($G52="","",INDEX('1. závod'!$A:$AM,$G52+3,INDEX('Základní list'!$B:$B,MATCH($F52,'Základní list'!$A:$A,0),1)+2))</f>
        <v>7.5</v>
      </c>
      <c r="J52" s="28" t="s">
        <v>23</v>
      </c>
      <c r="K52" s="29">
        <v>4</v>
      </c>
      <c r="L52" s="61">
        <f>IF($K52="","",INDEX('2. závod'!$A:$AV,$K52+3,INDEX('Základní list'!$B:$B,MATCH($J52,'Základní list'!$A:$A,0),1)))</f>
        <v>0</v>
      </c>
      <c r="M52" s="62">
        <f>IF($K52="","",INDEX('2. závod'!$A:$AV,$K52+3,INDEX('Základní list'!$B:$B,MATCH($J52,'Základní list'!$A:$A,0),1)+2))</f>
        <v>5.5</v>
      </c>
      <c r="N52" s="26">
        <f t="shared" si="5"/>
        <v>0</v>
      </c>
      <c r="O52" s="60">
        <f t="shared" si="6"/>
        <v>13</v>
      </c>
      <c r="P52" s="67">
        <v>44</v>
      </c>
      <c r="Q52" s="37" t="str">
        <f t="shared" si="7"/>
        <v>C10</v>
      </c>
      <c r="R52" s="37" t="str">
        <f t="shared" si="8"/>
        <v>B4</v>
      </c>
      <c r="S52" s="37">
        <f t="shared" si="9"/>
        <v>2</v>
      </c>
    </row>
    <row r="53" spans="1:19" ht="18" customHeight="1">
      <c r="A53" s="90">
        <v>45</v>
      </c>
      <c r="B53" s="156" t="s">
        <v>76</v>
      </c>
      <c r="C53" s="92" t="s">
        <v>50</v>
      </c>
      <c r="D53" s="93" t="s">
        <v>74</v>
      </c>
      <c r="E53" s="109">
        <v>2268</v>
      </c>
      <c r="F53" s="95" t="s">
        <v>24</v>
      </c>
      <c r="G53" s="92">
        <v>3</v>
      </c>
      <c r="H53" s="96">
        <f>IF($G53="","",INDEX('1. závod'!$A:$AN,$G53+3,INDEX('Základní list'!$B:$B,MATCH($F53,'Základní list'!$A:$A,0),1)))</f>
        <v>0</v>
      </c>
      <c r="I53" s="97">
        <f>IF($G53="","",INDEX('1. závod'!$A:$AM,$G53+3,INDEX('Základní list'!$B:$B,MATCH($F53,'Základní list'!$A:$A,0),1)+2))</f>
        <v>7.5</v>
      </c>
      <c r="J53" s="90" t="s">
        <v>22</v>
      </c>
      <c r="K53" s="98">
        <v>3</v>
      </c>
      <c r="L53" s="99">
        <f>IF($K53="","",INDEX('2. závod'!$A:$AV,$K53+3,INDEX('Základní list'!$B:$B,MATCH($J53,'Základní list'!$A:$A,0),1)))</f>
        <v>0</v>
      </c>
      <c r="M53" s="100">
        <f>IF($K53="","",INDEX('2. závod'!$A:$AV,$K53+3,INDEX('Základní list'!$B:$B,MATCH($J53,'Základní list'!$A:$A,0),1)+2))</f>
        <v>6</v>
      </c>
      <c r="N53" s="101">
        <f t="shared" si="5"/>
        <v>0</v>
      </c>
      <c r="O53" s="102">
        <f t="shared" si="6"/>
        <v>13.5</v>
      </c>
      <c r="P53" s="67">
        <f>IF($N53="","",RANK(O53,O:O,1))</f>
        <v>45</v>
      </c>
      <c r="Q53" s="37" t="str">
        <f t="shared" si="7"/>
        <v>F3</v>
      </c>
      <c r="R53" s="37" t="str">
        <f t="shared" si="8"/>
        <v>C3</v>
      </c>
      <c r="S53" s="37">
        <f t="shared" si="9"/>
        <v>2</v>
      </c>
    </row>
    <row r="54" spans="1:19" ht="18" customHeight="1">
      <c r="A54" s="90">
        <v>46</v>
      </c>
      <c r="B54" s="30" t="s">
        <v>131</v>
      </c>
      <c r="C54" s="31" t="s">
        <v>50</v>
      </c>
      <c r="D54" s="32" t="s">
        <v>133</v>
      </c>
      <c r="E54" s="110">
        <v>2263</v>
      </c>
      <c r="F54" s="33" t="s">
        <v>24</v>
      </c>
      <c r="G54" s="31">
        <v>2</v>
      </c>
      <c r="H54" s="24">
        <f>IF($G54="","",INDEX('1. závod'!$A:$AN,$G54+3,INDEX('Základní list'!$B:$B,MATCH($F54,'Základní list'!$A:$A,0),1)))</f>
        <v>0</v>
      </c>
      <c r="I54" s="20">
        <f>IF($G54="","",INDEX('1. závod'!$A:$AM,$G54+3,INDEX('Základní list'!$B:$B,MATCH($F54,'Základní list'!$A:$A,0),1)+2))</f>
        <v>7.5</v>
      </c>
      <c r="J54" s="28" t="s">
        <v>22</v>
      </c>
      <c r="K54" s="29">
        <v>5</v>
      </c>
      <c r="L54" s="61">
        <f>IF($K54="","",INDEX('2. závod'!$A:$AV,$K54+3,INDEX('Základní list'!$B:$B,MATCH($J54,'Základní list'!$A:$A,0),1)))</f>
        <v>0</v>
      </c>
      <c r="M54" s="62">
        <f>IF($K54="","",INDEX('2. závod'!$A:$AV,$K54+3,INDEX('Základní list'!$B:$B,MATCH($J54,'Základní list'!$A:$A,0),1)+2))</f>
        <v>6</v>
      </c>
      <c r="N54" s="26">
        <f t="shared" si="5"/>
        <v>0</v>
      </c>
      <c r="O54" s="60">
        <f t="shared" si="6"/>
        <v>13.5</v>
      </c>
      <c r="P54" s="67">
        <v>46</v>
      </c>
      <c r="Q54" s="37" t="str">
        <f t="shared" si="7"/>
        <v>F2</v>
      </c>
      <c r="R54" s="37" t="str">
        <f t="shared" si="8"/>
        <v>C5</v>
      </c>
      <c r="S54" s="37">
        <f t="shared" si="9"/>
        <v>2</v>
      </c>
    </row>
    <row r="55" spans="1:19" s="16" customFormat="1" ht="18" customHeight="1">
      <c r="A55" s="90">
        <v>47</v>
      </c>
      <c r="B55" s="30" t="s">
        <v>179</v>
      </c>
      <c r="C55" s="31" t="s">
        <v>50</v>
      </c>
      <c r="D55" s="32" t="s">
        <v>147</v>
      </c>
      <c r="E55" s="109">
        <v>2793</v>
      </c>
      <c r="F55" s="33" t="s">
        <v>24</v>
      </c>
      <c r="G55" s="31">
        <v>5</v>
      </c>
      <c r="H55" s="24">
        <f>IF($G55="","",INDEX('1. závod'!$A:$AN,$G55+3,INDEX('Základní list'!$B:$B,MATCH($F55,'Základní list'!$A:$A,0),1)))</f>
        <v>0</v>
      </c>
      <c r="I55" s="20">
        <f>IF($G55="","",INDEX('1. závod'!$A:$AM,$G55+3,INDEX('Základní list'!$B:$B,MATCH($F55,'Základní list'!$A:$A,0),1)+2))</f>
        <v>7.5</v>
      </c>
      <c r="J55" s="28" t="s">
        <v>22</v>
      </c>
      <c r="K55" s="29">
        <v>4</v>
      </c>
      <c r="L55" s="61">
        <f>IF($K55="","",INDEX('2. závod'!$A:$AV,$K55+3,INDEX('Základní list'!$B:$B,MATCH($J55,'Základní list'!$A:$A,0),1)))</f>
        <v>0</v>
      </c>
      <c r="M55" s="62">
        <f>IF($K55="","",INDEX('2. závod'!$A:$AV,$K55+3,INDEX('Základní list'!$B:$B,MATCH($J55,'Základní list'!$A:$A,0),1)+2))</f>
        <v>6</v>
      </c>
      <c r="N55" s="26">
        <f t="shared" si="5"/>
        <v>0</v>
      </c>
      <c r="O55" s="60">
        <f t="shared" si="6"/>
        <v>13.5</v>
      </c>
      <c r="P55" s="67">
        <v>47</v>
      </c>
      <c r="Q55" s="37" t="str">
        <f t="shared" si="7"/>
        <v>F5</v>
      </c>
      <c r="R55" s="37" t="str">
        <f t="shared" si="8"/>
        <v>C4</v>
      </c>
      <c r="S55" s="37">
        <f t="shared" si="9"/>
        <v>2</v>
      </c>
    </row>
    <row r="56" spans="1:19" ht="18" customHeight="1">
      <c r="A56" s="90">
        <v>48</v>
      </c>
      <c r="B56" s="91" t="s">
        <v>81</v>
      </c>
      <c r="C56" s="92" t="s">
        <v>50</v>
      </c>
      <c r="D56" s="93" t="s">
        <v>78</v>
      </c>
      <c r="E56" s="110">
        <v>2304</v>
      </c>
      <c r="F56" s="95" t="s">
        <v>23</v>
      </c>
      <c r="G56" s="92">
        <v>10</v>
      </c>
      <c r="H56" s="96">
        <f>IF($G56="","",INDEX('1. závod'!$A:$AN,$G56+3,INDEX('Základní list'!$B:$B,MATCH($F56,'Základní list'!$A:$A,0),1)))</f>
        <v>0</v>
      </c>
      <c r="I56" s="97">
        <f>IF($G56="","",INDEX('1. závod'!$A:$AM,$G56+3,INDEX('Základní list'!$B:$B,MATCH($F56,'Základní list'!$A:$A,0),1)+2))</f>
        <v>7</v>
      </c>
      <c r="J56" s="90" t="s">
        <v>20</v>
      </c>
      <c r="K56" s="98">
        <v>9</v>
      </c>
      <c r="L56" s="99">
        <f>IF($K56="","",INDEX('2. závod'!$A:$AV,$K56+3,INDEX('Základní list'!$B:$B,MATCH($J56,'Základní list'!$A:$A,0),1)))</f>
        <v>0</v>
      </c>
      <c r="M56" s="100">
        <f>IF($K56="","",INDEX('2. závod'!$A:$AV,$K56+3,INDEX('Základní list'!$B:$B,MATCH($J56,'Základní list'!$A:$A,0),1)+2))</f>
        <v>7</v>
      </c>
      <c r="N56" s="101">
        <f t="shared" si="5"/>
        <v>0</v>
      </c>
      <c r="O56" s="102">
        <f t="shared" si="6"/>
        <v>14</v>
      </c>
      <c r="P56" s="67">
        <f>IF($N56="","",RANK(O56,O:O,1))</f>
        <v>48</v>
      </c>
      <c r="Q56" s="37" t="str">
        <f t="shared" si="7"/>
        <v>B10</v>
      </c>
      <c r="R56" s="37" t="str">
        <f t="shared" si="8"/>
        <v>D9</v>
      </c>
      <c r="S56" s="37">
        <f t="shared" si="9"/>
        <v>2</v>
      </c>
    </row>
    <row r="57" spans="1:19" ht="18" customHeight="1" collapsed="1">
      <c r="A57" s="90">
        <v>49</v>
      </c>
      <c r="B57" s="104" t="s">
        <v>101</v>
      </c>
      <c r="C57" s="92" t="s">
        <v>50</v>
      </c>
      <c r="D57" s="93" t="s">
        <v>74</v>
      </c>
      <c r="E57" s="109">
        <v>2534</v>
      </c>
      <c r="F57" s="95" t="s">
        <v>23</v>
      </c>
      <c r="G57" s="92">
        <v>3</v>
      </c>
      <c r="H57" s="96">
        <f>IF($G57="","",INDEX('1. závod'!$A:$AN,$G57+3,INDEX('Základní list'!$B:$B,MATCH($F57,'Základní list'!$A:$A,0),1)))</f>
        <v>0</v>
      </c>
      <c r="I57" s="97">
        <f>IF($G57="","",INDEX('1. závod'!$A:$AM,$G57+3,INDEX('Základní list'!$B:$B,MATCH($F57,'Základní list'!$A:$A,0),1)+2))</f>
        <v>7</v>
      </c>
      <c r="J57" s="90" t="s">
        <v>20</v>
      </c>
      <c r="K57" s="98">
        <v>2</v>
      </c>
      <c r="L57" s="99">
        <f>IF($K57="","",INDEX('2. závod'!$A:$AV,$K57+3,INDEX('Základní list'!$B:$B,MATCH($J57,'Základní list'!$A:$A,0),1)))</f>
        <v>0</v>
      </c>
      <c r="M57" s="100">
        <f>IF($K57="","",INDEX('2. závod'!$A:$AV,$K57+3,INDEX('Základní list'!$B:$B,MATCH($J57,'Základní list'!$A:$A,0),1)+2))</f>
        <v>7</v>
      </c>
      <c r="N57" s="101">
        <f t="shared" si="5"/>
        <v>0</v>
      </c>
      <c r="O57" s="102">
        <f t="shared" si="6"/>
        <v>14</v>
      </c>
      <c r="P57" s="67">
        <v>49</v>
      </c>
      <c r="Q57" s="37" t="str">
        <f t="shared" si="7"/>
        <v>B3</v>
      </c>
      <c r="R57" s="37" t="str">
        <f t="shared" si="8"/>
        <v>D2</v>
      </c>
      <c r="S57" s="37">
        <f t="shared" si="9"/>
        <v>2</v>
      </c>
    </row>
    <row r="58" spans="1:19" ht="18" customHeight="1">
      <c r="A58" s="90">
        <v>50</v>
      </c>
      <c r="B58" s="30" t="s">
        <v>135</v>
      </c>
      <c r="C58" s="31" t="s">
        <v>50</v>
      </c>
      <c r="D58" s="32" t="s">
        <v>138</v>
      </c>
      <c r="E58" s="110">
        <v>1086</v>
      </c>
      <c r="F58" s="33" t="s">
        <v>21</v>
      </c>
      <c r="G58" s="31">
        <v>2</v>
      </c>
      <c r="H58" s="24">
        <f>IF($G58="","",INDEX('1. závod'!$A:$AN,$G58+3,INDEX('Základní list'!$B:$B,MATCH($F58,'Základní list'!$A:$A,0),1)))</f>
        <v>0</v>
      </c>
      <c r="I58" s="20">
        <f>IF($G58="","",INDEX('1. závod'!$A:$AM,$G58+3,INDEX('Základní list'!$B:$B,MATCH($F58,'Základní list'!$A:$A,0),1)+2))</f>
        <v>7</v>
      </c>
      <c r="J58" s="28" t="s">
        <v>20</v>
      </c>
      <c r="K58" s="29">
        <v>1</v>
      </c>
      <c r="L58" s="61">
        <f>IF($K58="","",INDEX('2. závod'!$A:$AV,$K58+3,INDEX('Základní list'!$B:$B,MATCH($J58,'Základní list'!$A:$A,0),1)))</f>
        <v>0</v>
      </c>
      <c r="M58" s="62">
        <f>IF($K58="","",INDEX('2. závod'!$A:$AV,$K58+3,INDEX('Základní list'!$B:$B,MATCH($J58,'Základní list'!$A:$A,0),1)+2))</f>
        <v>7</v>
      </c>
      <c r="N58" s="26">
        <f t="shared" si="5"/>
        <v>0</v>
      </c>
      <c r="O58" s="60">
        <f t="shared" si="6"/>
        <v>14</v>
      </c>
      <c r="P58" s="67">
        <v>50</v>
      </c>
      <c r="Q58" s="37" t="str">
        <f t="shared" si="7"/>
        <v>E2</v>
      </c>
      <c r="R58" s="37" t="str">
        <f t="shared" si="8"/>
        <v>D1</v>
      </c>
      <c r="S58" s="37">
        <f t="shared" si="9"/>
        <v>2</v>
      </c>
    </row>
    <row r="59" spans="1:19" ht="18" customHeight="1">
      <c r="A59" s="90">
        <v>51</v>
      </c>
      <c r="B59" s="30" t="s">
        <v>142</v>
      </c>
      <c r="C59" s="31" t="s">
        <v>50</v>
      </c>
      <c r="D59" s="32" t="s">
        <v>90</v>
      </c>
      <c r="E59" s="109">
        <v>2123</v>
      </c>
      <c r="F59" s="33" t="s">
        <v>19</v>
      </c>
      <c r="G59" s="31">
        <v>5</v>
      </c>
      <c r="H59" s="24">
        <f>IF($G59="","",INDEX('1. závod'!$A:$AN,$G59+3,INDEX('Základní list'!$B:$B,MATCH($F59,'Základní list'!$A:$A,0),1)))</f>
        <v>0</v>
      </c>
      <c r="I59" s="20">
        <f>IF($G59="","",INDEX('1. závod'!$A:$AM,$G59+3,INDEX('Základní list'!$B:$B,MATCH($F59,'Základní list'!$A:$A,0),1)+2))</f>
        <v>8.5</v>
      </c>
      <c r="J59" s="28" t="s">
        <v>23</v>
      </c>
      <c r="K59" s="29">
        <v>1</v>
      </c>
      <c r="L59" s="61">
        <f>IF($K59="","",INDEX('2. závod'!$A:$AV,$K59+3,INDEX('Základní list'!$B:$B,MATCH($J59,'Základní list'!$A:$A,0),1)))</f>
        <v>0</v>
      </c>
      <c r="M59" s="62">
        <f>IF($K59="","",INDEX('2. závod'!$A:$AV,$K59+3,INDEX('Základní list'!$B:$B,MATCH($J59,'Základní list'!$A:$A,0),1)+2))</f>
        <v>5.5</v>
      </c>
      <c r="N59" s="26">
        <f t="shared" si="5"/>
        <v>0</v>
      </c>
      <c r="O59" s="60">
        <f t="shared" si="6"/>
        <v>14</v>
      </c>
      <c r="P59" s="67">
        <v>51</v>
      </c>
      <c r="Q59" s="37" t="str">
        <f t="shared" si="7"/>
        <v>A5</v>
      </c>
      <c r="R59" s="37" t="str">
        <f t="shared" si="8"/>
        <v>B1</v>
      </c>
      <c r="S59" s="37">
        <f t="shared" si="9"/>
        <v>2</v>
      </c>
    </row>
    <row r="60" spans="1:19" s="16" customFormat="1" ht="18" customHeight="1">
      <c r="A60" s="90">
        <v>52</v>
      </c>
      <c r="B60" s="30" t="s">
        <v>125</v>
      </c>
      <c r="C60" s="31" t="s">
        <v>50</v>
      </c>
      <c r="D60" s="32" t="s">
        <v>128</v>
      </c>
      <c r="E60" s="110">
        <v>4</v>
      </c>
      <c r="F60" s="33" t="s">
        <v>19</v>
      </c>
      <c r="G60" s="31">
        <v>2</v>
      </c>
      <c r="H60" s="24">
        <f>IF($G60="","",INDEX('1. závod'!$A:$AN,$G60+3,INDEX('Základní list'!$B:$B,MATCH($F60,'Základní list'!$A:$A,0),1)))</f>
        <v>0</v>
      </c>
      <c r="I60" s="20">
        <f>IF($G60="","",INDEX('1. závod'!$A:$AM,$G60+3,INDEX('Základní list'!$B:$B,MATCH($F60,'Základní list'!$A:$A,0),1)+2))</f>
        <v>8.5</v>
      </c>
      <c r="J60" s="28" t="s">
        <v>22</v>
      </c>
      <c r="K60" s="29">
        <v>9</v>
      </c>
      <c r="L60" s="61">
        <f>IF($K60="","",INDEX('2. závod'!$A:$AV,$K60+3,INDEX('Základní list'!$B:$B,MATCH($J60,'Základní list'!$A:$A,0),1)))</f>
        <v>0</v>
      </c>
      <c r="M60" s="62">
        <f>IF($K60="","",INDEX('2. závod'!$A:$AV,$K60+3,INDEX('Základní list'!$B:$B,MATCH($J60,'Základní list'!$A:$A,0),1)+2))</f>
        <v>6</v>
      </c>
      <c r="N60" s="26">
        <f t="shared" si="5"/>
        <v>0</v>
      </c>
      <c r="O60" s="60">
        <f t="shared" si="6"/>
        <v>14.5</v>
      </c>
      <c r="P60" s="67">
        <f>IF($N60="","",RANK(O60,O:O,1))</f>
        <v>52</v>
      </c>
      <c r="Q60" s="37" t="str">
        <f t="shared" si="7"/>
        <v>A2</v>
      </c>
      <c r="R60" s="37" t="str">
        <f t="shared" si="8"/>
        <v>C9</v>
      </c>
      <c r="S60" s="37">
        <f t="shared" si="9"/>
        <v>2</v>
      </c>
    </row>
    <row r="61" spans="1:19" s="16" customFormat="1" ht="18" customHeight="1">
      <c r="A61" s="90">
        <v>53</v>
      </c>
      <c r="B61" s="30" t="s">
        <v>146</v>
      </c>
      <c r="C61" s="31" t="s">
        <v>50</v>
      </c>
      <c r="D61" s="32" t="s">
        <v>147</v>
      </c>
      <c r="E61" s="109">
        <v>345</v>
      </c>
      <c r="F61" s="33" t="s">
        <v>23</v>
      </c>
      <c r="G61" s="31">
        <v>6</v>
      </c>
      <c r="H61" s="24">
        <f>IF($G61="","",INDEX('1. závod'!$A:$AN,$G61+3,INDEX('Základní list'!$B:$B,MATCH($F61,'Základní list'!$A:$A,0),1)))</f>
        <v>0</v>
      </c>
      <c r="I61" s="20">
        <f>IF($G61="","",INDEX('1. závod'!$A:$AM,$G61+3,INDEX('Základní list'!$B:$B,MATCH($F61,'Základní list'!$A:$A,0),1)+2))</f>
        <v>7</v>
      </c>
      <c r="J61" s="28" t="s">
        <v>19</v>
      </c>
      <c r="K61" s="29">
        <v>10</v>
      </c>
      <c r="L61" s="61">
        <f>IF($K61="","",INDEX('2. závod'!$A:$AV,$K61+3,INDEX('Základní list'!$B:$B,MATCH($J61,'Základní list'!$A:$A,0),1)))</f>
        <v>0</v>
      </c>
      <c r="M61" s="62">
        <f>IF($K61="","",INDEX('2. závod'!$A:$AV,$K61+3,INDEX('Základní list'!$B:$B,MATCH($J61,'Základní list'!$A:$A,0),1)+2))</f>
        <v>8</v>
      </c>
      <c r="N61" s="26">
        <f t="shared" si="5"/>
        <v>0</v>
      </c>
      <c r="O61" s="60">
        <f t="shared" si="6"/>
        <v>15</v>
      </c>
      <c r="P61" s="67">
        <f>IF($N61="","",RANK(O61,O:O,1))</f>
        <v>53</v>
      </c>
      <c r="Q61" s="37" t="str">
        <f t="shared" si="7"/>
        <v>B6</v>
      </c>
      <c r="R61" s="37" t="str">
        <f t="shared" si="8"/>
        <v>A10</v>
      </c>
      <c r="S61" s="37">
        <f t="shared" si="9"/>
        <v>2</v>
      </c>
    </row>
    <row r="62" spans="1:19" ht="18" customHeight="1">
      <c r="A62" s="90">
        <v>54</v>
      </c>
      <c r="B62" s="104" t="s">
        <v>100</v>
      </c>
      <c r="C62" s="92" t="s">
        <v>50</v>
      </c>
      <c r="D62" s="93" t="s">
        <v>74</v>
      </c>
      <c r="E62" s="110">
        <v>82</v>
      </c>
      <c r="F62" s="95" t="s">
        <v>22</v>
      </c>
      <c r="G62" s="92">
        <v>8</v>
      </c>
      <c r="H62" s="96">
        <f>IF($G62="","",INDEX('1. závod'!$A:$AN,$G62+3,INDEX('Základní list'!$B:$B,MATCH($F62,'Základní list'!$A:$A,0),1)))</f>
        <v>0</v>
      </c>
      <c r="I62" s="97">
        <f>IF($G62="","",INDEX('1. závod'!$A:$AM,$G62+3,INDEX('Základní list'!$B:$B,MATCH($F62,'Základní list'!$A:$A,0),1)+2))</f>
        <v>7.5</v>
      </c>
      <c r="J62" s="90" t="s">
        <v>19</v>
      </c>
      <c r="K62" s="98">
        <v>8</v>
      </c>
      <c r="L62" s="99">
        <f>IF($K62="","",INDEX('2. závod'!$A:$AV,$K62+3,INDEX('Základní list'!$B:$B,MATCH($J62,'Základní list'!$A:$A,0),1)))</f>
        <v>0</v>
      </c>
      <c r="M62" s="100">
        <f>IF($K62="","",INDEX('2. závod'!$A:$AV,$K62+3,INDEX('Základní list'!$B:$B,MATCH($J62,'Základní list'!$A:$A,0),1)+2))</f>
        <v>8</v>
      </c>
      <c r="N62" s="101">
        <f t="shared" si="5"/>
        <v>0</v>
      </c>
      <c r="O62" s="102">
        <f t="shared" si="6"/>
        <v>15.5</v>
      </c>
      <c r="P62" s="67">
        <f>IF($N62="","",RANK(O62,O:O,1))</f>
        <v>54</v>
      </c>
      <c r="Q62" s="37" t="str">
        <f t="shared" si="7"/>
        <v>C8</v>
      </c>
      <c r="R62" s="37" t="str">
        <f t="shared" si="8"/>
        <v>A8</v>
      </c>
      <c r="S62" s="37">
        <f t="shared" si="9"/>
        <v>2</v>
      </c>
    </row>
    <row r="63" spans="1:19" s="16" customFormat="1" ht="18" customHeight="1">
      <c r="A63" s="90">
        <v>55</v>
      </c>
      <c r="B63" s="30" t="s">
        <v>148</v>
      </c>
      <c r="C63" s="31" t="s">
        <v>50</v>
      </c>
      <c r="D63" s="32" t="s">
        <v>149</v>
      </c>
      <c r="E63" s="109">
        <v>3071</v>
      </c>
      <c r="F63" s="33" t="s">
        <v>22</v>
      </c>
      <c r="G63" s="31">
        <v>3</v>
      </c>
      <c r="H63" s="24">
        <f>IF($G63="","",INDEX('1. závod'!$A:$AN,$G63+3,INDEX('Základní list'!$B:$B,MATCH($F63,'Základní list'!$A:$A,0),1)))</f>
        <v>0</v>
      </c>
      <c r="I63" s="20">
        <f>IF($G63="","",INDEX('1. závod'!$A:$AM,$G63+3,INDEX('Základní list'!$B:$B,MATCH($F63,'Základní list'!$A:$A,0),1)+2))</f>
        <v>7.5</v>
      </c>
      <c r="J63" s="28" t="s">
        <v>21</v>
      </c>
      <c r="K63" s="29">
        <v>1</v>
      </c>
      <c r="L63" s="61">
        <f>IF($K63="","",INDEX('2. závod'!$A:$AV,$K63+3,INDEX('Základní list'!$B:$B,MATCH($J63,'Základní list'!$A:$A,0),1)))</f>
        <v>0</v>
      </c>
      <c r="M63" s="62">
        <f>IF($K63="","",INDEX('2. závod'!$A:$AV,$K63+3,INDEX('Základní list'!$B:$B,MATCH($J63,'Základní list'!$A:$A,0),1)+2))</f>
        <v>8</v>
      </c>
      <c r="N63" s="26">
        <f t="shared" si="5"/>
        <v>0</v>
      </c>
      <c r="O63" s="60">
        <f t="shared" si="6"/>
        <v>15.5</v>
      </c>
      <c r="P63" s="67">
        <v>55</v>
      </c>
      <c r="Q63" s="37" t="str">
        <f t="shared" si="7"/>
        <v>C3</v>
      </c>
      <c r="R63" s="37" t="str">
        <f t="shared" si="8"/>
        <v>E1</v>
      </c>
      <c r="S63" s="37">
        <f t="shared" si="9"/>
        <v>2</v>
      </c>
    </row>
    <row r="64" spans="1:19" s="16" customFormat="1" ht="18" customHeight="1">
      <c r="A64" s="90">
        <v>56</v>
      </c>
      <c r="B64" s="30" t="s">
        <v>165</v>
      </c>
      <c r="C64" s="31" t="s">
        <v>50</v>
      </c>
      <c r="D64" s="32" t="s">
        <v>168</v>
      </c>
      <c r="E64" s="94">
        <v>3052</v>
      </c>
      <c r="F64" s="33" t="s">
        <v>19</v>
      </c>
      <c r="G64" s="31">
        <v>10</v>
      </c>
      <c r="H64" s="24">
        <f>IF($G64="","",INDEX('1. závod'!$A:$AN,$G64+3,INDEX('Základní list'!$B:$B,MATCH($F64,'Základní list'!$A:$A,0),1)))</f>
        <v>0</v>
      </c>
      <c r="I64" s="20">
        <f>IF($G64="","",INDEX('1. závod'!$A:$AM,$G64+3,INDEX('Základní list'!$B:$B,MATCH($F64,'Základní list'!$A:$A,0),1)+2))</f>
        <v>8.5</v>
      </c>
      <c r="J64" s="28" t="s">
        <v>20</v>
      </c>
      <c r="K64" s="29">
        <v>3</v>
      </c>
      <c r="L64" s="61">
        <f>IF($K64="","",INDEX('2. závod'!$A:$AV,$K64+3,INDEX('Základní list'!$B:$B,MATCH($J64,'Základní list'!$A:$A,0),1)))</f>
        <v>0</v>
      </c>
      <c r="M64" s="62">
        <f>IF($K64="","",INDEX('2. závod'!$A:$AV,$K64+3,INDEX('Základní list'!$B:$B,MATCH($J64,'Základní list'!$A:$A,0),1)+2))</f>
        <v>7</v>
      </c>
      <c r="N64" s="26">
        <f t="shared" si="5"/>
        <v>0</v>
      </c>
      <c r="O64" s="60">
        <f t="shared" si="6"/>
        <v>15.5</v>
      </c>
      <c r="P64" s="67">
        <v>56</v>
      </c>
      <c r="Q64" s="37" t="str">
        <f t="shared" si="7"/>
        <v>A10</v>
      </c>
      <c r="R64" s="37" t="str">
        <f t="shared" si="8"/>
        <v>D3</v>
      </c>
      <c r="S64" s="37">
        <f t="shared" si="9"/>
        <v>2</v>
      </c>
    </row>
    <row r="65" spans="1:19" s="16" customFormat="1" ht="18" customHeight="1">
      <c r="A65" s="90">
        <v>57</v>
      </c>
      <c r="B65" s="30" t="s">
        <v>167</v>
      </c>
      <c r="C65" s="31" t="s">
        <v>50</v>
      </c>
      <c r="D65" s="32" t="s">
        <v>168</v>
      </c>
      <c r="E65" s="105">
        <v>3055</v>
      </c>
      <c r="F65" s="33" t="s">
        <v>21</v>
      </c>
      <c r="G65" s="31">
        <v>1</v>
      </c>
      <c r="H65" s="24">
        <f>IF($G65="","",INDEX('1. závod'!$A:$AN,$G65+3,INDEX('Základní list'!$B:$B,MATCH($F65,'Základní list'!$A:$A,0),1)))</f>
        <v>0</v>
      </c>
      <c r="I65" s="20">
        <f>IF($G65="","",INDEX('1. závod'!$A:$AM,$G65+3,INDEX('Základní list'!$B:$B,MATCH($F65,'Základní list'!$A:$A,0),1)+2))</f>
        <v>7</v>
      </c>
      <c r="J65" s="28" t="s">
        <v>24</v>
      </c>
      <c r="K65" s="29">
        <v>2</v>
      </c>
      <c r="L65" s="61">
        <f>IF($K65="","",INDEX('2. závod'!$A:$AV,$K65+3,INDEX('Základní list'!$B:$B,MATCH($J65,'Základní list'!$A:$A,0),1)))</f>
        <v>0</v>
      </c>
      <c r="M65" s="62">
        <f>IF($K65="","",INDEX('2. závod'!$A:$AV,$K65+3,INDEX('Základní list'!$B:$B,MATCH($J65,'Základní list'!$A:$A,0),1)+2))</f>
        <v>8.5</v>
      </c>
      <c r="N65" s="26">
        <f t="shared" si="5"/>
        <v>0</v>
      </c>
      <c r="O65" s="60">
        <f t="shared" si="6"/>
        <v>15.5</v>
      </c>
      <c r="P65" s="67">
        <v>57</v>
      </c>
      <c r="Q65" s="37" t="str">
        <f t="shared" si="7"/>
        <v>E1</v>
      </c>
      <c r="R65" s="37" t="str">
        <f t="shared" si="8"/>
        <v>F2</v>
      </c>
      <c r="S65" s="37">
        <f t="shared" si="9"/>
        <v>2</v>
      </c>
    </row>
    <row r="66" spans="1:19" s="16" customFormat="1" ht="18" customHeight="1">
      <c r="A66" s="90">
        <v>58</v>
      </c>
      <c r="B66" s="104" t="s">
        <v>102</v>
      </c>
      <c r="C66" s="92" t="s">
        <v>50</v>
      </c>
      <c r="D66" s="93" t="s">
        <v>103</v>
      </c>
      <c r="E66" s="110">
        <v>2286</v>
      </c>
      <c r="F66" s="95" t="s">
        <v>24</v>
      </c>
      <c r="G66" s="92">
        <v>6</v>
      </c>
      <c r="H66" s="96">
        <f>IF($G66="","",INDEX('1. závod'!$A:$AN,$G66+3,INDEX('Základní list'!$B:$B,MATCH($F66,'Základní list'!$A:$A,0),1)))</f>
        <v>0</v>
      </c>
      <c r="I66" s="97">
        <f>IF($G66="","",INDEX('1. závod'!$A:$AM,$G66+3,INDEX('Základní list'!$B:$B,MATCH($F66,'Základní list'!$A:$A,0),1)+2))</f>
        <v>7.5</v>
      </c>
      <c r="J66" s="90" t="s">
        <v>24</v>
      </c>
      <c r="K66" s="98">
        <v>5</v>
      </c>
      <c r="L66" s="99">
        <f>IF($K66="","",INDEX('2. závod'!$A:$AV,$K66+3,INDEX('Základní list'!$B:$B,MATCH($J66,'Základní list'!$A:$A,0),1)))</f>
        <v>0</v>
      </c>
      <c r="M66" s="100">
        <f>IF($K66="","",INDEX('2. závod'!$A:$AV,$K66+3,INDEX('Základní list'!$B:$B,MATCH($J66,'Základní list'!$A:$A,0),1)+2))</f>
        <v>8.5</v>
      </c>
      <c r="N66" s="101">
        <f t="shared" si="5"/>
        <v>0</v>
      </c>
      <c r="O66" s="102">
        <f t="shared" si="6"/>
        <v>16</v>
      </c>
      <c r="P66" s="67">
        <f>IF($N66="","",RANK(O66,O:O,1))</f>
        <v>58</v>
      </c>
      <c r="Q66" s="37" t="str">
        <f t="shared" si="7"/>
        <v>F6</v>
      </c>
      <c r="R66" s="37" t="str">
        <f t="shared" si="8"/>
        <v>F5</v>
      </c>
      <c r="S66" s="37">
        <f t="shared" si="9"/>
        <v>2</v>
      </c>
    </row>
    <row r="67" spans="1:19" ht="18" customHeight="1">
      <c r="A67" s="90">
        <v>59</v>
      </c>
      <c r="B67" s="30" t="s">
        <v>126</v>
      </c>
      <c r="C67" s="31" t="s">
        <v>50</v>
      </c>
      <c r="D67" s="32" t="s">
        <v>128</v>
      </c>
      <c r="E67" s="109">
        <v>5</v>
      </c>
      <c r="F67" s="33" t="s">
        <v>22</v>
      </c>
      <c r="G67" s="31">
        <v>4</v>
      </c>
      <c r="H67" s="24">
        <f>IF($G67="","",INDEX('1. závod'!$A:$AN,$G67+3,INDEX('Základní list'!$B:$B,MATCH($F67,'Základní list'!$A:$A,0),1)))</f>
        <v>0</v>
      </c>
      <c r="I67" s="20">
        <f>IF($G67="","",INDEX('1. závod'!$A:$AM,$G67+3,INDEX('Základní list'!$B:$B,MATCH($F67,'Základní list'!$A:$A,0),1)+2))</f>
        <v>7.5</v>
      </c>
      <c r="J67" s="28" t="s">
        <v>24</v>
      </c>
      <c r="K67" s="29">
        <v>7</v>
      </c>
      <c r="L67" s="61">
        <f>IF($K67="","",INDEX('2. závod'!$A:$AV,$K67+3,INDEX('Základní list'!$B:$B,MATCH($J67,'Základní list'!$A:$A,0),1)))</f>
        <v>0</v>
      </c>
      <c r="M67" s="62">
        <f>IF($K67="","",INDEX('2. závod'!$A:$AV,$K67+3,INDEX('Základní list'!$B:$B,MATCH($J67,'Základní list'!$A:$A,0),1)+2))</f>
        <v>8.5</v>
      </c>
      <c r="N67" s="26">
        <f t="shared" si="5"/>
        <v>0</v>
      </c>
      <c r="O67" s="60">
        <f t="shared" si="6"/>
        <v>16</v>
      </c>
      <c r="P67" s="67">
        <v>59</v>
      </c>
      <c r="Q67" s="37" t="str">
        <f t="shared" si="7"/>
        <v>C4</v>
      </c>
      <c r="R67" s="37" t="str">
        <f t="shared" si="8"/>
        <v>F7</v>
      </c>
      <c r="S67" s="37">
        <f t="shared" si="9"/>
        <v>2</v>
      </c>
    </row>
    <row r="68" spans="1:19" s="16" customFormat="1" ht="18" customHeight="1">
      <c r="A68" s="90">
        <v>60</v>
      </c>
      <c r="B68" s="30" t="s">
        <v>72</v>
      </c>
      <c r="C68" s="31" t="s">
        <v>50</v>
      </c>
      <c r="D68" s="32" t="s">
        <v>74</v>
      </c>
      <c r="E68" s="110">
        <v>753</v>
      </c>
      <c r="F68" s="33" t="s">
        <v>22</v>
      </c>
      <c r="G68" s="31">
        <v>7</v>
      </c>
      <c r="H68" s="24">
        <f>IF($G68="","",INDEX('1. závod'!$A:$AN,$G68+3,INDEX('Základní list'!$B:$B,MATCH($F68,'Základní list'!$A:$A,0),1)))</f>
        <v>0</v>
      </c>
      <c r="I68" s="20">
        <f>IF($G68="","",INDEX('1. závod'!$A:$AM,$G68+3,INDEX('Základní list'!$B:$B,MATCH($F68,'Základní list'!$A:$A,0),1)+2))</f>
        <v>7.5</v>
      </c>
      <c r="J68" s="28" t="s">
        <v>24</v>
      </c>
      <c r="K68" s="29">
        <v>4</v>
      </c>
      <c r="L68" s="61">
        <f>IF($K68="","",INDEX('2. závod'!$A:$AV,$K68+3,INDEX('Základní list'!$B:$B,MATCH($J68,'Základní list'!$A:$A,0),1)))</f>
        <v>0</v>
      </c>
      <c r="M68" s="62">
        <f>IF($K68="","",INDEX('2. závod'!$A:$AV,$K68+3,INDEX('Základní list'!$B:$B,MATCH($J68,'Základní list'!$A:$A,0),1)+2))</f>
        <v>8.5</v>
      </c>
      <c r="N68" s="26">
        <f t="shared" si="5"/>
        <v>0</v>
      </c>
      <c r="O68" s="60">
        <f t="shared" si="6"/>
        <v>16</v>
      </c>
      <c r="P68" s="67">
        <v>60</v>
      </c>
      <c r="Q68" s="37" t="str">
        <f t="shared" si="7"/>
        <v>C7</v>
      </c>
      <c r="R68" s="37" t="str">
        <f t="shared" si="8"/>
        <v>F4</v>
      </c>
      <c r="S68" s="37">
        <f t="shared" si="9"/>
        <v>2</v>
      </c>
    </row>
    <row r="69" spans="1:19" s="16" customFormat="1" ht="13.5" customHeight="1" hidden="1">
      <c r="A69" s="115"/>
      <c r="B69" s="116"/>
      <c r="C69" s="20"/>
      <c r="D69" s="62"/>
      <c r="E69" s="114"/>
      <c r="F69" s="118"/>
      <c r="G69" s="20"/>
      <c r="H69" s="119"/>
      <c r="I69" s="20"/>
      <c r="J69" s="121"/>
      <c r="K69" s="119"/>
      <c r="L69" s="20"/>
      <c r="M69" s="62"/>
      <c r="N69" s="121"/>
      <c r="O69" s="60"/>
      <c r="P69" s="122"/>
      <c r="Q69" s="84"/>
      <c r="R69" s="84"/>
      <c r="S69" s="84"/>
    </row>
    <row r="70" spans="1:19" ht="18" customHeight="1" hidden="1" thickBot="1">
      <c r="A70" s="34"/>
      <c r="B70" s="74"/>
      <c r="C70" s="65"/>
      <c r="D70" s="75"/>
      <c r="E70" s="88"/>
      <c r="F70" s="64"/>
      <c r="G70" s="65"/>
      <c r="H70" s="89">
        <f>IF($G70="","",INDEX('1. závod'!$A:$AN,$G70+3,INDEX('Základní list'!$B:$B,MATCH($F70,'Základní list'!$A:$A,0),1)))</f>
      </c>
      <c r="I70" s="18">
        <f>IF($G70="","",INDEX('1. závod'!$A:$AM,$G70+3,INDEX('Základní list'!$B:$B,MATCH($F70,'Základní list'!$A:$A,0),1)+2))</f>
      </c>
      <c r="J70" s="64"/>
      <c r="K70" s="65"/>
      <c r="L70" s="63">
        <f>IF($K70="","",INDEX('2. závod'!$A:$AV,$K70+3,INDEX('Základní list'!$B:$B,MATCH($J70,'Základní list'!$A:$A,0),1)))</f>
      </c>
      <c r="M70" s="19">
        <f>IF($K70="","",INDEX('2. závod'!$A:$AV,$K70+3,INDEX('Základní list'!$B:$B,MATCH($J70,'Základní list'!$A:$A,0),1)+2))</f>
      </c>
      <c r="N70" s="27">
        <f>IF($K70="","",SUM(H70,L70))</f>
      </c>
      <c r="O70" s="66">
        <f>IF($K70="","",SUM(I70,M70))</f>
      </c>
      <c r="P70" s="76">
        <f>IF($N70="","",RANK(O70,O:O,1))</f>
      </c>
      <c r="Q70" s="37">
        <f>CONCATENATE(F70,G70)</f>
      </c>
      <c r="R70" s="37">
        <f>CONCATENATE(J70,K70)</f>
      </c>
      <c r="S70" s="37">
        <f>COUNT(I70,M70)</f>
        <v>0</v>
      </c>
    </row>
    <row r="71" spans="1:16" ht="12.75" collapsed="1">
      <c r="A71" s="17"/>
      <c r="B71" s="21"/>
      <c r="C71" s="17"/>
      <c r="D71" s="17"/>
      <c r="E71" s="17"/>
      <c r="F71" s="17"/>
      <c r="G71" s="17"/>
      <c r="H71" s="25"/>
      <c r="I71" s="17"/>
      <c r="J71" s="17"/>
      <c r="K71" s="17"/>
      <c r="L71" s="25"/>
      <c r="M71" s="17"/>
      <c r="N71" s="25"/>
      <c r="O71" s="17"/>
      <c r="P71" s="17"/>
    </row>
    <row r="72" spans="1:16" ht="12.75">
      <c r="A72" s="171" t="s">
        <v>12</v>
      </c>
      <c r="B72" s="171"/>
      <c r="C72" s="171"/>
      <c r="D72" s="171" t="s">
        <v>30</v>
      </c>
      <c r="E72" s="171"/>
      <c r="F72" s="171"/>
      <c r="G72" s="171"/>
      <c r="H72" s="171"/>
      <c r="I72" s="35"/>
      <c r="J72" s="35"/>
      <c r="K72" s="35"/>
      <c r="L72" s="35"/>
      <c r="M72" s="188" t="s">
        <v>18</v>
      </c>
      <c r="N72" s="188"/>
      <c r="O72" s="188"/>
      <c r="P72" s="188"/>
    </row>
  </sheetData>
  <sheetProtection formatCells="0" formatColumns="0" formatRows="0" sort="0" autoFilter="0"/>
  <autoFilter ref="A8:S70"/>
  <mergeCells count="25">
    <mergeCell ref="R6:R8"/>
    <mergeCell ref="F7:G7"/>
    <mergeCell ref="P7:P8"/>
    <mergeCell ref="O7:O8"/>
    <mergeCell ref="Q6:Q8"/>
    <mergeCell ref="B6:E7"/>
    <mergeCell ref="M72:P72"/>
    <mergeCell ref="A72:C72"/>
    <mergeCell ref="D72:H72"/>
    <mergeCell ref="J7:K7"/>
    <mergeCell ref="N7:N8"/>
    <mergeCell ref="M7:M8"/>
    <mergeCell ref="L7:L8"/>
    <mergeCell ref="H7:H8"/>
    <mergeCell ref="I7:I8"/>
    <mergeCell ref="A1:P1"/>
    <mergeCell ref="N6:P6"/>
    <mergeCell ref="A6:A8"/>
    <mergeCell ref="B2:I2"/>
    <mergeCell ref="B3:I3"/>
    <mergeCell ref="J6:M6"/>
    <mergeCell ref="J2:P2"/>
    <mergeCell ref="J3:P3"/>
    <mergeCell ref="F6:I6"/>
    <mergeCell ref="B4:I4"/>
  </mergeCells>
  <printOptions horizontalCentered="1"/>
  <pageMargins left="0.2362204724409449" right="0.1968503937007874" top="0.2362204724409449" bottom="0.35" header="0.2362204724409449" footer="0.1968503937007874"/>
  <pageSetup cellComments="asDisplayed" fitToHeight="1" fitToWidth="1" horizontalDpi="300" verticalDpi="300" orientation="portrait" paperSize="9" scale="65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3"/>
  <sheetViews>
    <sheetView showGridLines="0" view="pageBreakPreview" zoomScale="70" zoomScaleNormal="50" zoomScaleSheetLayoutView="70" zoomScalePageLayoutView="0" workbookViewId="0" topLeftCell="A1">
      <pane xSplit="1" ySplit="3" topLeftCell="H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H4" sqref="H4"/>
    </sheetView>
  </sheetViews>
  <sheetFormatPr defaultColWidth="5.25390625" defaultRowHeight="12.75"/>
  <cols>
    <col min="1" max="1" width="6.625" style="9" customWidth="1"/>
    <col min="2" max="2" width="37.00390625" style="13" customWidth="1"/>
    <col min="3" max="3" width="15.375" style="12" customWidth="1"/>
    <col min="4" max="4" width="4.00390625" style="12" hidden="1" customWidth="1"/>
    <col min="5" max="5" width="8.00390625" style="6" customWidth="1"/>
    <col min="6" max="6" width="21.00390625" style="6" customWidth="1"/>
    <col min="7" max="7" width="37.00390625" style="13" customWidth="1"/>
    <col min="8" max="8" width="15.375" style="12" customWidth="1"/>
    <col min="9" max="9" width="4.00390625" style="12" hidden="1" customWidth="1"/>
    <col min="10" max="10" width="8.00390625" style="6" customWidth="1"/>
    <col min="11" max="11" width="22.00390625" style="6" customWidth="1"/>
    <col min="12" max="12" width="37.00390625" style="13" customWidth="1"/>
    <col min="13" max="13" width="15.375" style="12" customWidth="1"/>
    <col min="14" max="14" width="4.00390625" style="12" hidden="1" customWidth="1"/>
    <col min="15" max="15" width="8.00390625" style="6" customWidth="1"/>
    <col min="16" max="16" width="22.00390625" style="6" customWidth="1"/>
    <col min="17" max="17" width="37.00390625" style="13" customWidth="1"/>
    <col min="18" max="18" width="15.375" style="12" customWidth="1"/>
    <col min="19" max="19" width="4.00390625" style="12" hidden="1" customWidth="1"/>
    <col min="20" max="20" width="8.00390625" style="6" customWidth="1"/>
    <col min="21" max="21" width="22.00390625" style="6" customWidth="1"/>
    <col min="22" max="22" width="37.00390625" style="13" customWidth="1"/>
    <col min="23" max="23" width="15.375" style="12" customWidth="1"/>
    <col min="24" max="24" width="4.00390625" style="12" hidden="1" customWidth="1"/>
    <col min="25" max="25" width="8.00390625" style="6" customWidth="1"/>
    <col min="26" max="26" width="22.00390625" style="6" customWidth="1"/>
    <col min="27" max="27" width="37.00390625" style="13" customWidth="1"/>
    <col min="28" max="28" width="15.375" style="12" customWidth="1"/>
    <col min="29" max="29" width="4.00390625" style="12" hidden="1" customWidth="1"/>
    <col min="30" max="30" width="8.00390625" style="6" customWidth="1"/>
    <col min="31" max="31" width="22.00390625" style="6" customWidth="1"/>
    <col min="32" max="123" width="5.25390625" style="11" customWidth="1"/>
    <col min="124" max="16384" width="5.25390625" style="12" customWidth="1"/>
  </cols>
  <sheetData>
    <row r="1" spans="1:31" ht="16.5" customHeight="1">
      <c r="A1" s="212" t="s">
        <v>13</v>
      </c>
      <c r="B1" s="209" t="s">
        <v>28</v>
      </c>
      <c r="C1" s="210"/>
      <c r="D1" s="210"/>
      <c r="E1" s="210"/>
      <c r="F1" s="211"/>
      <c r="G1" s="209" t="s">
        <v>28</v>
      </c>
      <c r="H1" s="210"/>
      <c r="I1" s="210"/>
      <c r="J1" s="210"/>
      <c r="K1" s="211"/>
      <c r="L1" s="209" t="s">
        <v>28</v>
      </c>
      <c r="M1" s="210"/>
      <c r="N1" s="210"/>
      <c r="O1" s="210"/>
      <c r="P1" s="211"/>
      <c r="Q1" s="209" t="s">
        <v>28</v>
      </c>
      <c r="R1" s="210"/>
      <c r="S1" s="210"/>
      <c r="T1" s="210"/>
      <c r="U1" s="211"/>
      <c r="V1" s="209" t="s">
        <v>28</v>
      </c>
      <c r="W1" s="210"/>
      <c r="X1" s="210"/>
      <c r="Y1" s="210"/>
      <c r="Z1" s="211"/>
      <c r="AA1" s="209" t="s">
        <v>28</v>
      </c>
      <c r="AB1" s="210"/>
      <c r="AC1" s="210"/>
      <c r="AD1" s="210"/>
      <c r="AE1" s="211"/>
    </row>
    <row r="2" spans="1:123" s="6" customFormat="1" ht="16.5" customHeight="1" thickBot="1">
      <c r="A2" s="213"/>
      <c r="B2" s="206" t="str">
        <f>IF(ISBLANK('Základní list'!$A11),"",'Základní list'!$A11)</f>
        <v>A</v>
      </c>
      <c r="C2" s="207"/>
      <c r="D2" s="207"/>
      <c r="E2" s="207"/>
      <c r="F2" s="208"/>
      <c r="G2" s="206" t="str">
        <f>IF(ISBLANK('Základní list'!$A12),"",'Základní list'!$A12)</f>
        <v>B</v>
      </c>
      <c r="H2" s="207"/>
      <c r="I2" s="207"/>
      <c r="J2" s="207"/>
      <c r="K2" s="208"/>
      <c r="L2" s="206" t="str">
        <f>IF(ISBLANK('Základní list'!$A13),"",'Základní list'!$A13)</f>
        <v>C</v>
      </c>
      <c r="M2" s="207"/>
      <c r="N2" s="207"/>
      <c r="O2" s="207"/>
      <c r="P2" s="208"/>
      <c r="Q2" s="206" t="str">
        <f>IF(ISBLANK('Základní list'!$A14),"",'Základní list'!$A14)</f>
        <v>D</v>
      </c>
      <c r="R2" s="207"/>
      <c r="S2" s="207"/>
      <c r="T2" s="207"/>
      <c r="U2" s="208"/>
      <c r="V2" s="206" t="str">
        <f>IF(ISBLANK('Základní list'!$A15),"",'Základní list'!$A15)</f>
        <v>E</v>
      </c>
      <c r="W2" s="207"/>
      <c r="X2" s="207"/>
      <c r="Y2" s="207"/>
      <c r="Z2" s="208"/>
      <c r="AA2" s="206" t="str">
        <f>IF(ISBLANK('Základní list'!$A16),"",'Základní list'!$A16)</f>
        <v>F</v>
      </c>
      <c r="AB2" s="207"/>
      <c r="AC2" s="207"/>
      <c r="AD2" s="207"/>
      <c r="AE2" s="208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</row>
    <row r="3" spans="1:123" s="7" customFormat="1" ht="25.5" customHeight="1" thickBot="1">
      <c r="A3" s="214"/>
      <c r="B3" s="1" t="s">
        <v>14</v>
      </c>
      <c r="C3" s="2" t="s">
        <v>15</v>
      </c>
      <c r="D3" s="38" t="s">
        <v>27</v>
      </c>
      <c r="E3" s="52" t="s">
        <v>16</v>
      </c>
      <c r="F3" s="54"/>
      <c r="G3" s="1" t="s">
        <v>14</v>
      </c>
      <c r="H3" s="2" t="s">
        <v>15</v>
      </c>
      <c r="I3" s="38" t="s">
        <v>27</v>
      </c>
      <c r="J3" s="52" t="s">
        <v>16</v>
      </c>
      <c r="K3" s="54"/>
      <c r="L3" s="1" t="s">
        <v>14</v>
      </c>
      <c r="M3" s="2" t="s">
        <v>15</v>
      </c>
      <c r="N3" s="38" t="s">
        <v>27</v>
      </c>
      <c r="O3" s="52" t="s">
        <v>16</v>
      </c>
      <c r="P3" s="54" t="s">
        <v>51</v>
      </c>
      <c r="Q3" s="1" t="s">
        <v>14</v>
      </c>
      <c r="R3" s="2" t="s">
        <v>15</v>
      </c>
      <c r="S3" s="38" t="s">
        <v>27</v>
      </c>
      <c r="T3" s="52" t="s">
        <v>16</v>
      </c>
      <c r="U3" s="54" t="s">
        <v>51</v>
      </c>
      <c r="V3" s="1" t="s">
        <v>14</v>
      </c>
      <c r="W3" s="2" t="s">
        <v>15</v>
      </c>
      <c r="X3" s="38" t="s">
        <v>27</v>
      </c>
      <c r="Y3" s="52" t="s">
        <v>16</v>
      </c>
      <c r="Z3" s="54" t="s">
        <v>51</v>
      </c>
      <c r="AA3" s="1" t="s">
        <v>14</v>
      </c>
      <c r="AB3" s="2" t="s">
        <v>15</v>
      </c>
      <c r="AC3" s="38" t="s">
        <v>27</v>
      </c>
      <c r="AD3" s="52" t="s">
        <v>16</v>
      </c>
      <c r="AE3" s="54" t="s">
        <v>51</v>
      </c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</row>
    <row r="4" spans="1:123" s="8" customFormat="1" ht="34.5" customHeight="1">
      <c r="A4" s="3">
        <v>1</v>
      </c>
      <c r="B4" s="57" t="str">
        <f>IF(ISNA(MATCH(CONCATENATE(B$2,$A4),'Výsledková listina'!$Q:$Q,0)),"",INDEX('Výsledková listina'!$B:$B,MATCH(CONCATENATE(B$2,$A4),'Výsledková listina'!$Q:$Q,0),1))</f>
        <v>Douša Jan</v>
      </c>
      <c r="C4" s="4">
        <v>440</v>
      </c>
      <c r="D4" s="39">
        <f aca="true" t="shared" si="0" ref="D4:D13">IF(C4="","",RANK(C4,C$1:C$65536,0))</f>
        <v>4</v>
      </c>
      <c r="E4" s="53">
        <f aca="true" t="shared" si="1" ref="E4:E13">IF(C4="","",((RANK(C4,C$1:C$65536,0))+(FREQUENCY(D$1:D$65536,D4)))/2)</f>
        <v>4</v>
      </c>
      <c r="F4" s="55"/>
      <c r="G4" s="57" t="str">
        <f>IF(ISNA(MATCH(CONCATENATE(G$2,$A4),'Výsledková listina'!$Q:$Q,0)),"",INDEX('Výsledková listina'!$B:$B,MATCH(CONCATENATE(G$2,$A4),'Výsledková listina'!$Q:$Q,0),1))</f>
        <v>Štěpnička Martin</v>
      </c>
      <c r="H4" s="4">
        <v>0</v>
      </c>
      <c r="I4" s="39">
        <f aca="true" t="shared" si="2" ref="I4:I13">IF(H4="","",RANK(H4,H$1:H$65536,0))</f>
        <v>4</v>
      </c>
      <c r="J4" s="53">
        <f aca="true" t="shared" si="3" ref="J4:J13">IF(H4="","",((RANK(H4,H$1:H$65536,0))+(FREQUENCY(I$1:I$65536,I4)))/2)</f>
        <v>7</v>
      </c>
      <c r="K4" s="55"/>
      <c r="L4" s="57" t="str">
        <f>IF(ISNA(MATCH(CONCATENATE(L$2,$A4),'Výsledková listina'!$Q:$Q,0)),"",INDEX('Výsledková listina'!$B:$B,MATCH(CONCATENATE(L$2,$A4),'Výsledková listina'!$Q:$Q,0),1))</f>
        <v>Skála Petr</v>
      </c>
      <c r="M4" s="4">
        <v>180</v>
      </c>
      <c r="N4" s="39">
        <f aca="true" t="shared" si="4" ref="N4:N13">IF(M4="","",RANK(M4,M$1:M$65536,0))</f>
        <v>3</v>
      </c>
      <c r="O4" s="53">
        <f aca="true" t="shared" si="5" ref="O4:O13">IF(M4="","",((RANK(M4,M$1:M$65536,0))+(FREQUENCY(N$1:N$65536,N4)))/2)</f>
        <v>3</v>
      </c>
      <c r="P4" s="55"/>
      <c r="Q4" s="57" t="str">
        <f>IF(ISNA(MATCH(CONCATENATE(Q$2,$A4),'Výsledková listina'!$Q:$Q,0)),"",INDEX('Výsledková listina'!$B:$B,MATCH(CONCATENATE(Q$2,$A4),'Výsledková listina'!$Q:$Q,0),1))</f>
        <v>Vitásek Jiří</v>
      </c>
      <c r="R4" s="4">
        <v>1580</v>
      </c>
      <c r="S4" s="39">
        <f aca="true" t="shared" si="6" ref="S4:S13">IF(R4="","",RANK(R4,R$1:R$65536,0))</f>
        <v>3</v>
      </c>
      <c r="T4" s="53">
        <f aca="true" t="shared" si="7" ref="T4:T13">IF(R4="","",((RANK(R4,R$1:R$65536,0))+(FREQUENCY(S$1:S$65536,S4)))/2)</f>
        <v>3</v>
      </c>
      <c r="U4" s="55"/>
      <c r="V4" s="57" t="str">
        <f>IF(ISNA(MATCH(CONCATENATE(V$2,$A4),'Výsledková listina'!$Q:$Q,0)),"",INDEX('Výsledková listina'!$B:$B,MATCH(CONCATENATE(V$2,$A4),'Výsledková listina'!$Q:$Q,0),1))</f>
        <v>Oliva Vladimír</v>
      </c>
      <c r="W4" s="4">
        <v>0</v>
      </c>
      <c r="X4" s="39">
        <f aca="true" t="shared" si="8" ref="X4:X13">IF(W4="","",RANK(W4,W$1:W$65536,0))</f>
        <v>4</v>
      </c>
      <c r="Y4" s="53">
        <f aca="true" t="shared" si="9" ref="Y4:Y13">IF(W4="","",((RANK(W4,W$1:W$65536,0))+(FREQUENCY(X$1:X$65536,X4)))/2)</f>
        <v>7</v>
      </c>
      <c r="Z4" s="55"/>
      <c r="AA4" s="57" t="str">
        <f>IF(ISNA(MATCH(CONCATENATE(AA$2,$A4),'Výsledková listina'!$Q:$Q,0)),"",INDEX('Výsledková listina'!$B:$B,MATCH(CONCATENATE(AA$2,$A4),'Výsledková listina'!$Q:$Q,0),1))</f>
        <v>Peřina Josef</v>
      </c>
      <c r="AB4" s="4">
        <v>0</v>
      </c>
      <c r="AC4" s="39">
        <f aca="true" t="shared" si="10" ref="AC4:AC13">IF(AB4="","",RANK(AB4,AB$1:AB$65536,0))</f>
        <v>5</v>
      </c>
      <c r="AD4" s="53">
        <f aca="true" t="shared" si="11" ref="AD4:AD13">IF(AB4="","",((RANK(AB4,AB$1:AB$65536,0))+(FREQUENCY(AC$1:AC$65536,AC4)))/2)</f>
        <v>7.5</v>
      </c>
      <c r="AE4" s="55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</row>
    <row r="5" spans="1:123" s="8" customFormat="1" ht="34.5" customHeight="1">
      <c r="A5" s="5">
        <v>2</v>
      </c>
      <c r="B5" s="57" t="str">
        <f>IF(ISNA(MATCH(CONCATENATE(B$2,$A5),'Výsledková listina'!$Q:$Q,0)),"",INDEX('Výsledková listina'!$B:$B,MATCH(CONCATENATE(B$2,$A5),'Výsledková listina'!$Q:$Q,0),1))</f>
        <v>Štěpnička Milan</v>
      </c>
      <c r="C5" s="4">
        <v>0</v>
      </c>
      <c r="D5" s="39">
        <f t="shared" si="0"/>
        <v>7</v>
      </c>
      <c r="E5" s="53">
        <f t="shared" si="1"/>
        <v>8.5</v>
      </c>
      <c r="F5" s="56"/>
      <c r="G5" s="57" t="str">
        <f>IF(ISNA(MATCH(CONCATENATE(G$2,$A5),'Výsledková listina'!$Q:$Q,0)),"",INDEX('Výsledková listina'!$B:$B,MATCH(CONCATENATE(G$2,$A5),'Výsledková listina'!$Q:$Q,0),1))</f>
        <v>Smutný Jiří</v>
      </c>
      <c r="H5" s="4">
        <v>340</v>
      </c>
      <c r="I5" s="39">
        <f t="shared" si="2"/>
        <v>1</v>
      </c>
      <c r="J5" s="53">
        <f t="shared" si="3"/>
        <v>1</v>
      </c>
      <c r="K5" s="56"/>
      <c r="L5" s="57" t="str">
        <f>IF(ISNA(MATCH(CONCATENATE(L$2,$A5),'Výsledková listina'!$Q:$Q,0)),"",INDEX('Výsledková listina'!$B:$B,MATCH(CONCATENATE(L$2,$A5),'Výsledková listina'!$Q:$Q,0),1))</f>
        <v>Bromovský Petr</v>
      </c>
      <c r="M5" s="4">
        <v>0</v>
      </c>
      <c r="N5" s="39">
        <f t="shared" si="4"/>
        <v>5</v>
      </c>
      <c r="O5" s="53">
        <f t="shared" si="5"/>
        <v>7.5</v>
      </c>
      <c r="P5" s="56"/>
      <c r="Q5" s="57" t="str">
        <f>IF(ISNA(MATCH(CONCATENATE(Q$2,$A5),'Výsledková listina'!$Q:$Q,0)),"",INDEX('Výsledková listina'!$B:$B,MATCH(CONCATENATE(Q$2,$A5),'Výsledková listina'!$Q:$Q,0),1))</f>
        <v>Novák Jan</v>
      </c>
      <c r="R5" s="4">
        <v>0</v>
      </c>
      <c r="S5" s="39">
        <f t="shared" si="6"/>
        <v>4</v>
      </c>
      <c r="T5" s="53">
        <f t="shared" si="7"/>
        <v>7</v>
      </c>
      <c r="U5" s="56"/>
      <c r="V5" s="57" t="str">
        <f>IF(ISNA(MATCH(CONCATENATE(V$2,$A5),'Výsledková listina'!$Q:$Q,0)),"",INDEX('Výsledková listina'!$B:$B,MATCH(CONCATENATE(V$2,$A5),'Výsledková listina'!$Q:$Q,0),1))</f>
        <v>Kuchař Petr</v>
      </c>
      <c r="W5" s="4">
        <v>0</v>
      </c>
      <c r="X5" s="39">
        <f t="shared" si="8"/>
        <v>4</v>
      </c>
      <c r="Y5" s="53">
        <f t="shared" si="9"/>
        <v>7</v>
      </c>
      <c r="Z5" s="56"/>
      <c r="AA5" s="57" t="str">
        <f>IF(ISNA(MATCH(CONCATENATE(AA$2,$A5),'Výsledková listina'!$Q:$Q,0)),"",INDEX('Výsledková listina'!$B:$B,MATCH(CONCATENATE(AA$2,$A5),'Výsledková listina'!$Q:$Q,0),1))</f>
        <v>Kabourek Václav</v>
      </c>
      <c r="AB5" s="4">
        <v>0</v>
      </c>
      <c r="AC5" s="39">
        <f t="shared" si="10"/>
        <v>5</v>
      </c>
      <c r="AD5" s="53">
        <f t="shared" si="11"/>
        <v>7.5</v>
      </c>
      <c r="AE5" s="56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</row>
    <row r="6" spans="1:123" s="8" customFormat="1" ht="34.5" customHeight="1">
      <c r="A6" s="5">
        <v>3</v>
      </c>
      <c r="B6" s="57" t="str">
        <f>IF(ISNA(MATCH(CONCATENATE(B$2,$A6),'Výsledková listina'!$Q:$Q,0)),"",INDEX('Výsledková listina'!$B:$B,MATCH(CONCATENATE(B$2,$A6),'Výsledková listina'!$Q:$Q,0),1))</f>
        <v>Funda Petr</v>
      </c>
      <c r="C6" s="4">
        <v>2340</v>
      </c>
      <c r="D6" s="39">
        <f t="shared" si="0"/>
        <v>1</v>
      </c>
      <c r="E6" s="53">
        <f t="shared" si="1"/>
        <v>1</v>
      </c>
      <c r="F6" s="56"/>
      <c r="G6" s="57" t="str">
        <f>IF(ISNA(MATCH(CONCATENATE(G$2,$A6),'Výsledková listina'!$Q:$Q,0)),"",INDEX('Výsledková listina'!$B:$B,MATCH(CONCATENATE(G$2,$A6),'Výsledková listina'!$Q:$Q,0),1))</f>
        <v>Staněk Karel</v>
      </c>
      <c r="H6" s="4">
        <v>0</v>
      </c>
      <c r="I6" s="39">
        <f t="shared" si="2"/>
        <v>4</v>
      </c>
      <c r="J6" s="53">
        <f t="shared" si="3"/>
        <v>7</v>
      </c>
      <c r="K6" s="56"/>
      <c r="L6" s="57" t="str">
        <f>IF(ISNA(MATCH(CONCATENATE(L$2,$A6),'Výsledková listina'!$Q:$Q,0)),"",INDEX('Výsledková listina'!$B:$B,MATCH(CONCATENATE(L$2,$A6),'Výsledková listina'!$Q:$Q,0),1))</f>
        <v>Kadlec Tomáš</v>
      </c>
      <c r="M6" s="4">
        <v>0</v>
      </c>
      <c r="N6" s="39">
        <f t="shared" si="4"/>
        <v>5</v>
      </c>
      <c r="O6" s="53">
        <f t="shared" si="5"/>
        <v>7.5</v>
      </c>
      <c r="P6" s="56"/>
      <c r="Q6" s="57" t="str">
        <f>IF(ISNA(MATCH(CONCATENATE(Q$2,$A6),'Výsledková listina'!$Q:$Q,0)),"",INDEX('Výsledková listina'!$B:$B,MATCH(CONCATENATE(Q$2,$A6),'Výsledková listina'!$Q:$Q,0),1))</f>
        <v>Fejfar Kamil</v>
      </c>
      <c r="R6" s="4">
        <v>0</v>
      </c>
      <c r="S6" s="39">
        <f t="shared" si="6"/>
        <v>4</v>
      </c>
      <c r="T6" s="53">
        <f t="shared" si="7"/>
        <v>7</v>
      </c>
      <c r="U6" s="56"/>
      <c r="V6" s="57" t="str">
        <f>IF(ISNA(MATCH(CONCATENATE(V$2,$A6),'Výsledková listina'!$Q:$Q,0)),"",INDEX('Výsledková listina'!$B:$B,MATCH(CONCATENATE(V$2,$A6),'Výsledková listina'!$Q:$Q,0),1))</f>
        <v>Zdvořáček David</v>
      </c>
      <c r="W6" s="4">
        <v>0</v>
      </c>
      <c r="X6" s="39">
        <f t="shared" si="8"/>
        <v>4</v>
      </c>
      <c r="Y6" s="53">
        <f t="shared" si="9"/>
        <v>7</v>
      </c>
      <c r="Z6" s="56"/>
      <c r="AA6" s="57" t="str">
        <f>IF(ISNA(MATCH(CONCATENATE(AA$2,$A6),'Výsledková listina'!$Q:$Q,0)),"",INDEX('Výsledková listina'!$B:$B,MATCH(CONCATENATE(AA$2,$A6),'Výsledková listina'!$Q:$Q,0),1))</f>
        <v>Stejskal Miroslav</v>
      </c>
      <c r="AB6" s="4">
        <v>0</v>
      </c>
      <c r="AC6" s="39">
        <f t="shared" si="10"/>
        <v>5</v>
      </c>
      <c r="AD6" s="53">
        <f t="shared" si="11"/>
        <v>7.5</v>
      </c>
      <c r="AE6" s="56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</row>
    <row r="7" spans="1:123" s="8" customFormat="1" ht="34.5" customHeight="1">
      <c r="A7" s="5">
        <v>4</v>
      </c>
      <c r="B7" s="57" t="str">
        <f>IF(ISNA(MATCH(CONCATENATE(B$2,$A7),'Výsledková listina'!$Q:$Q,0)),"",INDEX('Výsledková listina'!$B:$B,MATCH(CONCATENATE(B$2,$A7),'Výsledková listina'!$Q:$Q,0),1))</f>
        <v>Bartoň Roman</v>
      </c>
      <c r="C7" s="4">
        <v>240</v>
      </c>
      <c r="D7" s="39">
        <f t="shared" si="0"/>
        <v>5</v>
      </c>
      <c r="E7" s="53">
        <f t="shared" si="1"/>
        <v>5</v>
      </c>
      <c r="F7" s="56"/>
      <c r="G7" s="57" t="str">
        <f>IF(ISNA(MATCH(CONCATENATE(G$2,$A7),'Výsledková listina'!$Q:$Q,0)),"",INDEX('Výsledková listina'!$B:$B,MATCH(CONCATENATE(G$2,$A7),'Výsledková listina'!$Q:$Q,0),1))</f>
        <v>Ouředniček Jan</v>
      </c>
      <c r="H7" s="4">
        <v>140</v>
      </c>
      <c r="I7" s="39">
        <f t="shared" si="2"/>
        <v>3</v>
      </c>
      <c r="J7" s="53">
        <f t="shared" si="3"/>
        <v>3</v>
      </c>
      <c r="K7" s="56"/>
      <c r="L7" s="57" t="str">
        <f>IF(ISNA(MATCH(CONCATENATE(L$2,$A7),'Výsledková listina'!$Q:$Q,0)),"",INDEX('Výsledková listina'!$B:$B,MATCH(CONCATENATE(L$2,$A7),'Výsledková listina'!$Q:$Q,0),1))</f>
        <v>Štěpnička Radek</v>
      </c>
      <c r="M7" s="4">
        <v>0</v>
      </c>
      <c r="N7" s="39">
        <f t="shared" si="4"/>
        <v>5</v>
      </c>
      <c r="O7" s="53">
        <f t="shared" si="5"/>
        <v>7.5</v>
      </c>
      <c r="P7" s="56"/>
      <c r="Q7" s="57" t="str">
        <f>IF(ISNA(MATCH(CONCATENATE(Q$2,$A7),'Výsledková listina'!$Q:$Q,0)),"",INDEX('Výsledková listina'!$B:$B,MATCH(CONCATENATE(Q$2,$A7),'Výsledková listina'!$Q:$Q,0),1))</f>
        <v>Dorotík Tomáš</v>
      </c>
      <c r="R7" s="4">
        <v>0</v>
      </c>
      <c r="S7" s="39">
        <f t="shared" si="6"/>
        <v>4</v>
      </c>
      <c r="T7" s="53">
        <f t="shared" si="7"/>
        <v>7</v>
      </c>
      <c r="U7" s="56"/>
      <c r="V7" s="57" t="str">
        <f>IF(ISNA(MATCH(CONCATENATE(V$2,$A7),'Výsledková listina'!$Q:$Q,0)),"",INDEX('Výsledková listina'!$B:$B,MATCH(CONCATENATE(V$2,$A7),'Výsledková listina'!$Q:$Q,0),1))</f>
        <v>Janiš Jiří</v>
      </c>
      <c r="W7" s="4">
        <v>60</v>
      </c>
      <c r="X7" s="39">
        <f t="shared" si="8"/>
        <v>3</v>
      </c>
      <c r="Y7" s="53">
        <f t="shared" si="9"/>
        <v>3</v>
      </c>
      <c r="Z7" s="56"/>
      <c r="AA7" s="57" t="str">
        <f>IF(ISNA(MATCH(CONCATENATE(AA$2,$A7),'Výsledková listina'!$Q:$Q,0)),"",INDEX('Výsledková listina'!$B:$B,MATCH(CONCATENATE(AA$2,$A7),'Výsledková listina'!$Q:$Q,0),1))</f>
        <v>Havlíček Petr</v>
      </c>
      <c r="AB7" s="4">
        <v>0</v>
      </c>
      <c r="AC7" s="39">
        <f t="shared" si="10"/>
        <v>5</v>
      </c>
      <c r="AD7" s="53">
        <f t="shared" si="11"/>
        <v>7.5</v>
      </c>
      <c r="AE7" s="56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</row>
    <row r="8" spans="1:123" s="8" customFormat="1" ht="34.5" customHeight="1">
      <c r="A8" s="5">
        <v>5</v>
      </c>
      <c r="B8" s="57" t="str">
        <f>IF(ISNA(MATCH(CONCATENATE(B$2,$A8),'Výsledková listina'!$Q:$Q,0)),"",INDEX('Výsledková listina'!$B:$B,MATCH(CONCATENATE(B$2,$A8),'Výsledková listina'!$Q:$Q,0),1))</f>
        <v>Jurka Jiří</v>
      </c>
      <c r="C8" s="4">
        <v>0</v>
      </c>
      <c r="D8" s="39">
        <f t="shared" si="0"/>
        <v>7</v>
      </c>
      <c r="E8" s="53">
        <f t="shared" si="1"/>
        <v>8.5</v>
      </c>
      <c r="F8" s="56"/>
      <c r="G8" s="57" t="str">
        <f>IF(ISNA(MATCH(CONCATENATE(G$2,$A8),'Výsledková listina'!$Q:$Q,0)),"",INDEX('Výsledková listina'!$B:$B,MATCH(CONCATENATE(G$2,$A8),'Výsledková listina'!$Q:$Q,0),1))</f>
        <v>Vinař René</v>
      </c>
      <c r="H8" s="4">
        <v>0</v>
      </c>
      <c r="I8" s="39">
        <f t="shared" si="2"/>
        <v>4</v>
      </c>
      <c r="J8" s="53">
        <f t="shared" si="3"/>
        <v>7</v>
      </c>
      <c r="K8" s="56"/>
      <c r="L8" s="57" t="str">
        <f>IF(ISNA(MATCH(CONCATENATE(L$2,$A8),'Výsledková listina'!$Q:$Q,0)),"",INDEX('Výsledková listina'!$B:$B,MATCH(CONCATENATE(L$2,$A8),'Výsledková listina'!$Q:$Q,0),1))</f>
        <v>Tůma David</v>
      </c>
      <c r="M8" s="4">
        <v>20</v>
      </c>
      <c r="N8" s="39">
        <f t="shared" si="4"/>
        <v>4</v>
      </c>
      <c r="O8" s="53">
        <f t="shared" si="5"/>
        <v>4</v>
      </c>
      <c r="P8" s="56"/>
      <c r="Q8" s="57" t="str">
        <f>IF(ISNA(MATCH(CONCATENATE(Q$2,$A8),'Výsledková listina'!$Q:$Q,0)),"",INDEX('Výsledková listina'!$B:$B,MATCH(CONCATENATE(Q$2,$A8),'Výsledková listina'!$Q:$Q,0),1))</f>
        <v>Bořuta Pavel</v>
      </c>
      <c r="R8" s="4">
        <v>1800</v>
      </c>
      <c r="S8" s="39">
        <f t="shared" si="6"/>
        <v>1</v>
      </c>
      <c r="T8" s="53">
        <f t="shared" si="7"/>
        <v>1</v>
      </c>
      <c r="U8" s="56"/>
      <c r="V8" s="57" t="str">
        <f>IF(ISNA(MATCH(CONCATENATE(V$2,$A8),'Výsledková listina'!$Q:$Q,0)),"",INDEX('Výsledková listina'!$B:$B,MATCH(CONCATENATE(V$2,$A8),'Výsledková listina'!$Q:$Q,0),1))</f>
        <v>Šurgota Juraj</v>
      </c>
      <c r="W8" s="4">
        <v>380</v>
      </c>
      <c r="X8" s="39">
        <f t="shared" si="8"/>
        <v>2</v>
      </c>
      <c r="Y8" s="53">
        <f t="shared" si="9"/>
        <v>2</v>
      </c>
      <c r="Z8" s="56"/>
      <c r="AA8" s="57" t="str">
        <f>IF(ISNA(MATCH(CONCATENATE(AA$2,$A8),'Výsledková listina'!$Q:$Q,0)),"",INDEX('Výsledková listina'!$B:$B,MATCH(CONCATENATE(AA$2,$A8),'Výsledková listina'!$Q:$Q,0),1))</f>
        <v>Sičák Pavel</v>
      </c>
      <c r="AB8" s="4">
        <v>0</v>
      </c>
      <c r="AC8" s="39">
        <f t="shared" si="10"/>
        <v>5</v>
      </c>
      <c r="AD8" s="53">
        <f t="shared" si="11"/>
        <v>7.5</v>
      </c>
      <c r="AE8" s="56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</row>
    <row r="9" spans="1:123" s="8" customFormat="1" ht="34.5" customHeight="1">
      <c r="A9" s="5">
        <v>6</v>
      </c>
      <c r="B9" s="57" t="str">
        <f>IF(ISNA(MATCH(CONCATENATE(B$2,$A9),'Výsledková listina'!$Q:$Q,0)),"",INDEX('Výsledková listina'!$B:$B,MATCH(CONCATENATE(B$2,$A9),'Výsledková listina'!$Q:$Q,0),1))</f>
        <v>Nocar Pavel</v>
      </c>
      <c r="C9" s="4">
        <v>0</v>
      </c>
      <c r="D9" s="39">
        <f t="shared" si="0"/>
        <v>7</v>
      </c>
      <c r="E9" s="53">
        <f t="shared" si="1"/>
        <v>8.5</v>
      </c>
      <c r="F9" s="56"/>
      <c r="G9" s="57" t="str">
        <f>IF(ISNA(MATCH(CONCATENATE(G$2,$A9),'Výsledková listina'!$Q:$Q,0)),"",INDEX('Výsledková listina'!$B:$B,MATCH(CONCATENATE(G$2,$A9),'Výsledková listina'!$Q:$Q,0),1))</f>
        <v>Dušánek Bohuslav</v>
      </c>
      <c r="H9" s="4">
        <v>0</v>
      </c>
      <c r="I9" s="39">
        <f t="shared" si="2"/>
        <v>4</v>
      </c>
      <c r="J9" s="53">
        <f t="shared" si="3"/>
        <v>7</v>
      </c>
      <c r="K9" s="56"/>
      <c r="L9" s="57" t="str">
        <f>IF(ISNA(MATCH(CONCATENATE(L$2,$A9),'Výsledková listina'!$Q:$Q,0)),"",INDEX('Výsledková listina'!$B:$B,MATCH(CONCATENATE(L$2,$A9),'Výsledková listina'!$Q:$Q,0),1))</f>
        <v>Hahn Petr</v>
      </c>
      <c r="M9" s="4">
        <v>1440</v>
      </c>
      <c r="N9" s="39">
        <f t="shared" si="4"/>
        <v>2</v>
      </c>
      <c r="O9" s="53">
        <f t="shared" si="5"/>
        <v>2</v>
      </c>
      <c r="P9" s="56"/>
      <c r="Q9" s="57" t="str">
        <f>IF(ISNA(MATCH(CONCATENATE(Q$2,$A9),'Výsledková listina'!$Q:$Q,0)),"",INDEX('Výsledková listina'!$B:$B,MATCH(CONCATENATE(Q$2,$A9),'Výsledková listina'!$Q:$Q,0),1))</f>
        <v>Ouředniček Jiří</v>
      </c>
      <c r="R9" s="4">
        <v>0</v>
      </c>
      <c r="S9" s="39">
        <f t="shared" si="6"/>
        <v>4</v>
      </c>
      <c r="T9" s="53">
        <f t="shared" si="7"/>
        <v>7</v>
      </c>
      <c r="U9" s="56"/>
      <c r="V9" s="57" t="str">
        <f>IF(ISNA(MATCH(CONCATENATE(V$2,$A9),'Výsledková listina'!$Q:$Q,0)),"",INDEX('Výsledková listina'!$B:$B,MATCH(CONCATENATE(V$2,$A9),'Výsledková listina'!$Q:$Q,0),1))</f>
        <v>Sofron Pavel</v>
      </c>
      <c r="W9" s="4">
        <v>640</v>
      </c>
      <c r="X9" s="39">
        <f t="shared" si="8"/>
        <v>1</v>
      </c>
      <c r="Y9" s="53">
        <f t="shared" si="9"/>
        <v>1</v>
      </c>
      <c r="Z9" s="56"/>
      <c r="AA9" s="57" t="str">
        <f>IF(ISNA(MATCH(CONCATENATE(AA$2,$A9),'Výsledková listina'!$Q:$Q,0)),"",INDEX('Výsledková listina'!$B:$B,MATCH(CONCATENATE(AA$2,$A9),'Výsledková listina'!$Q:$Q,0),1))</f>
        <v>Tóth Petr</v>
      </c>
      <c r="AB9" s="4">
        <v>0</v>
      </c>
      <c r="AC9" s="39">
        <f t="shared" si="10"/>
        <v>5</v>
      </c>
      <c r="AD9" s="53">
        <f t="shared" si="11"/>
        <v>7.5</v>
      </c>
      <c r="AE9" s="56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</row>
    <row r="10" spans="1:123" s="8" customFormat="1" ht="34.5" customHeight="1">
      <c r="A10" s="5">
        <v>7</v>
      </c>
      <c r="B10" s="57" t="str">
        <f>IF(ISNA(MATCH(CONCATENATE(B$2,$A10),'Výsledková listina'!$Q:$Q,0)),"",INDEX('Výsledková listina'!$B:$B,MATCH(CONCATENATE(B$2,$A10),'Výsledková listina'!$Q:$Q,0),1))</f>
        <v>Bruner Václav</v>
      </c>
      <c r="C10" s="4">
        <v>180</v>
      </c>
      <c r="D10" s="39">
        <f t="shared" si="0"/>
        <v>6</v>
      </c>
      <c r="E10" s="53">
        <f t="shared" si="1"/>
        <v>6</v>
      </c>
      <c r="F10" s="56"/>
      <c r="G10" s="57" t="str">
        <f>IF(ISNA(MATCH(CONCATENATE(G$2,$A10),'Výsledková listina'!$Q:$Q,0)),"",INDEX('Výsledková listina'!$B:$B,MATCH(CONCATENATE(G$2,$A10),'Výsledková listina'!$Q:$Q,0),1))</f>
        <v>Stříbrský Voktor</v>
      </c>
      <c r="H10" s="4">
        <v>0</v>
      </c>
      <c r="I10" s="39">
        <f t="shared" si="2"/>
        <v>4</v>
      </c>
      <c r="J10" s="53">
        <f t="shared" si="3"/>
        <v>7</v>
      </c>
      <c r="K10" s="56"/>
      <c r="L10" s="57" t="str">
        <f>IF(ISNA(MATCH(CONCATENATE(L$2,$A10),'Výsledková listina'!$Q:$Q,0)),"",INDEX('Výsledková listina'!$B:$B,MATCH(CONCATENATE(L$2,$A10),'Výsledková listina'!$Q:$Q,0),1))</f>
        <v>František Koubek</v>
      </c>
      <c r="M10" s="4">
        <v>0</v>
      </c>
      <c r="N10" s="39">
        <f t="shared" si="4"/>
        <v>5</v>
      </c>
      <c r="O10" s="53">
        <f t="shared" si="5"/>
        <v>7.5</v>
      </c>
      <c r="P10" s="56"/>
      <c r="Q10" s="57" t="str">
        <f>IF(ISNA(MATCH(CONCATENATE(Q$2,$A10),'Výsledková listina'!$Q:$Q,0)),"",INDEX('Výsledková listina'!$B:$B,MATCH(CONCATENATE(Q$2,$A10),'Výsledková listina'!$Q:$Q,0),1))</f>
        <v>Ševčík Ladislav</v>
      </c>
      <c r="R10" s="4">
        <v>0</v>
      </c>
      <c r="S10" s="39">
        <f t="shared" si="6"/>
        <v>4</v>
      </c>
      <c r="T10" s="53">
        <f t="shared" si="7"/>
        <v>7</v>
      </c>
      <c r="U10" s="56"/>
      <c r="V10" s="57" t="str">
        <f>IF(ISNA(MATCH(CONCATENATE(V$2,$A10),'Výsledková listina'!$Q:$Q,0)),"",INDEX('Výsledková listina'!$B:$B,MATCH(CONCATENATE(V$2,$A10),'Výsledková listina'!$Q:$Q,0),1))</f>
        <v>Kodýdek Jiří</v>
      </c>
      <c r="W10" s="4">
        <v>0</v>
      </c>
      <c r="X10" s="39">
        <f t="shared" si="8"/>
        <v>4</v>
      </c>
      <c r="Y10" s="53">
        <f t="shared" si="9"/>
        <v>7</v>
      </c>
      <c r="Z10" s="56"/>
      <c r="AA10" s="57" t="str">
        <f>IF(ISNA(MATCH(CONCATENATE(AA$2,$A10),'Výsledková listina'!$Q:$Q,0)),"",INDEX('Výsledková listina'!$B:$B,MATCH(CONCATENATE(AA$2,$A10),'Výsledková listina'!$Q:$Q,0),1))</f>
        <v>Baranka Vladimír</v>
      </c>
      <c r="AB10" s="4">
        <v>480</v>
      </c>
      <c r="AC10" s="39">
        <f t="shared" si="10"/>
        <v>4</v>
      </c>
      <c r="AD10" s="53">
        <f t="shared" si="11"/>
        <v>4</v>
      </c>
      <c r="AE10" s="56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</row>
    <row r="11" spans="1:123" s="8" customFormat="1" ht="34.5" customHeight="1">
      <c r="A11" s="5">
        <v>8</v>
      </c>
      <c r="B11" s="57" t="str">
        <f>IF(ISNA(MATCH(CONCATENATE(B$2,$A11),'Výsledková listina'!$Q:$Q,0)),"",INDEX('Výsledková listina'!$B:$B,MATCH(CONCATENATE(B$2,$A11),'Výsledková listina'!$Q:$Q,0),1))</f>
        <v>Hanousek Václav</v>
      </c>
      <c r="C11" s="4">
        <v>1720</v>
      </c>
      <c r="D11" s="39">
        <f t="shared" si="0"/>
        <v>2</v>
      </c>
      <c r="E11" s="53">
        <f t="shared" si="1"/>
        <v>2</v>
      </c>
      <c r="F11" s="56"/>
      <c r="G11" s="57" t="str">
        <f>IF(ISNA(MATCH(CONCATENATE(G$2,$A11),'Výsledková listina'!$Q:$Q,0)),"",INDEX('Výsledková listina'!$B:$B,MATCH(CONCATENATE(G$2,$A11),'Výsledková listina'!$Q:$Q,0),1))</f>
        <v>Vávra Jiří</v>
      </c>
      <c r="H11" s="4">
        <v>300</v>
      </c>
      <c r="I11" s="39">
        <f t="shared" si="2"/>
        <v>2</v>
      </c>
      <c r="J11" s="53">
        <f t="shared" si="3"/>
        <v>2</v>
      </c>
      <c r="K11" s="56"/>
      <c r="L11" s="57" t="str">
        <f>IF(ISNA(MATCH(CONCATENATE(L$2,$A11),'Výsledková listina'!$Q:$Q,0)),"",INDEX('Výsledková listina'!$B:$B,MATCH(CONCATENATE(L$2,$A11),'Výsledková listina'!$Q:$Q,0),1))</f>
        <v>Juřík Milan</v>
      </c>
      <c r="M11" s="4">
        <v>0</v>
      </c>
      <c r="N11" s="39">
        <f t="shared" si="4"/>
        <v>5</v>
      </c>
      <c r="O11" s="53">
        <f t="shared" si="5"/>
        <v>7.5</v>
      </c>
      <c r="P11" s="56"/>
      <c r="Q11" s="57" t="str">
        <f>IF(ISNA(MATCH(CONCATENATE(Q$2,$A11),'Výsledková listina'!$Q:$Q,0)),"",INDEX('Výsledková listina'!$B:$B,MATCH(CONCATENATE(Q$2,$A11),'Výsledková listina'!$Q:$Q,0),1))</f>
        <v>Kasl Luboš</v>
      </c>
      <c r="R11" s="4">
        <v>0</v>
      </c>
      <c r="S11" s="39">
        <f t="shared" si="6"/>
        <v>4</v>
      </c>
      <c r="T11" s="53">
        <f t="shared" si="7"/>
        <v>7</v>
      </c>
      <c r="U11" s="56"/>
      <c r="V11" s="57" t="str">
        <f>IF(ISNA(MATCH(CONCATENATE(V$2,$A11),'Výsledková listina'!$Q:$Q,0)),"",INDEX('Výsledková listina'!$B:$B,MATCH(CONCATENATE(V$2,$A11),'Výsledková listina'!$Q:$Q,0),1))</f>
        <v>Krýsl Pavel</v>
      </c>
      <c r="W11" s="4">
        <v>0</v>
      </c>
      <c r="X11" s="39">
        <f t="shared" si="8"/>
        <v>4</v>
      </c>
      <c r="Y11" s="53">
        <f t="shared" si="9"/>
        <v>7</v>
      </c>
      <c r="Z11" s="56"/>
      <c r="AA11" s="57" t="str">
        <f>IF(ISNA(MATCH(CONCATENATE(AA$2,$A11),'Výsledková listina'!$Q:$Q,0)),"",INDEX('Výsledková listina'!$B:$B,MATCH(CONCATENATE(AA$2,$A11),'Výsledková listina'!$Q:$Q,0),1))</f>
        <v>Babica Ladislav</v>
      </c>
      <c r="AB11" s="4">
        <v>780</v>
      </c>
      <c r="AC11" s="39">
        <f t="shared" si="10"/>
        <v>3</v>
      </c>
      <c r="AD11" s="53">
        <f t="shared" si="11"/>
        <v>3</v>
      </c>
      <c r="AE11" s="56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</row>
    <row r="12" spans="1:123" s="8" customFormat="1" ht="34.5" customHeight="1">
      <c r="A12" s="5">
        <v>9</v>
      </c>
      <c r="B12" s="57" t="str">
        <f>IF(ISNA(MATCH(CONCATENATE(B$2,$A12),'Výsledková listina'!$Q:$Q,0)),"",INDEX('Výsledková listina'!$B:$B,MATCH(CONCATENATE(B$2,$A12),'Výsledková listina'!$Q:$Q,0),1))</f>
        <v>Čečil Lukáš</v>
      </c>
      <c r="C12" s="4">
        <v>1660</v>
      </c>
      <c r="D12" s="39">
        <f t="shared" si="0"/>
        <v>3</v>
      </c>
      <c r="E12" s="53">
        <f t="shared" si="1"/>
        <v>3</v>
      </c>
      <c r="F12" s="56"/>
      <c r="G12" s="57" t="str">
        <f>IF(ISNA(MATCH(CONCATENATE(G$2,$A12),'Výsledková listina'!$Q:$Q,0)),"",INDEX('Výsledková listina'!$B:$B,MATCH(CONCATENATE(G$2,$A12),'Výsledková listina'!$Q:$Q,0),1))</f>
        <v>Pavelka Viktor</v>
      </c>
      <c r="H12" s="4">
        <v>0</v>
      </c>
      <c r="I12" s="39">
        <f t="shared" si="2"/>
        <v>4</v>
      </c>
      <c r="J12" s="53">
        <f t="shared" si="3"/>
        <v>7</v>
      </c>
      <c r="K12" s="56"/>
      <c r="L12" s="57" t="str">
        <f>IF(ISNA(MATCH(CONCATENATE(L$2,$A12),'Výsledková listina'!$Q:$Q,0)),"",INDEX('Výsledková listina'!$B:$B,MATCH(CONCATENATE(L$2,$A12),'Výsledková listina'!$Q:$Q,0),1))</f>
        <v>Chalupa Ladislav</v>
      </c>
      <c r="M12" s="4">
        <v>2440</v>
      </c>
      <c r="N12" s="39">
        <f t="shared" si="4"/>
        <v>1</v>
      </c>
      <c r="O12" s="53">
        <f t="shared" si="5"/>
        <v>1</v>
      </c>
      <c r="P12" s="56"/>
      <c r="Q12" s="57" t="str">
        <f>IF(ISNA(MATCH(CONCATENATE(Q$2,$A12),'Výsledková listina'!$Q:$Q,0)),"",INDEX('Výsledková listina'!$B:$B,MATCH(CONCATENATE(Q$2,$A12),'Výsledková listina'!$Q:$Q,0),1))</f>
        <v>Srb Roman</v>
      </c>
      <c r="R12" s="4">
        <v>1680</v>
      </c>
      <c r="S12" s="39">
        <f t="shared" si="6"/>
        <v>2</v>
      </c>
      <c r="T12" s="53">
        <f t="shared" si="7"/>
        <v>2</v>
      </c>
      <c r="U12" s="56"/>
      <c r="V12" s="57" t="str">
        <f>IF(ISNA(MATCH(CONCATENATE(V$2,$A12),'Výsledková listina'!$Q:$Q,0)),"",INDEX('Výsledková listina'!$B:$B,MATCH(CONCATENATE(V$2,$A12),'Výsledková listina'!$Q:$Q,0),1))</f>
        <v>Konopásek Jaroslav</v>
      </c>
      <c r="W12" s="4">
        <v>0</v>
      </c>
      <c r="X12" s="39">
        <f t="shared" si="8"/>
        <v>4</v>
      </c>
      <c r="Y12" s="53">
        <f t="shared" si="9"/>
        <v>7</v>
      </c>
      <c r="Z12" s="56"/>
      <c r="AA12" s="57" t="str">
        <f>IF(ISNA(MATCH(CONCATENATE(AA$2,$A12),'Výsledková listina'!$Q:$Q,0)),"",INDEX('Výsledková listina'!$B:$B,MATCH(CONCATENATE(AA$2,$A12),'Výsledková listina'!$Q:$Q,0),1))</f>
        <v>Kuneš Luboš</v>
      </c>
      <c r="AB12" s="4">
        <v>3460</v>
      </c>
      <c r="AC12" s="39">
        <f t="shared" si="10"/>
        <v>1</v>
      </c>
      <c r="AD12" s="53">
        <f t="shared" si="11"/>
        <v>1</v>
      </c>
      <c r="AE12" s="56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</row>
    <row r="13" spans="1:123" s="8" customFormat="1" ht="34.5" customHeight="1">
      <c r="A13" s="5">
        <v>10</v>
      </c>
      <c r="B13" s="57" t="str">
        <f>IF(ISNA(MATCH(CONCATENATE(B$2,$A13),'Výsledková listina'!$Q:$Q,0)),"",INDEX('Výsledková listina'!$B:$B,MATCH(CONCATENATE(B$2,$A13),'Výsledková listina'!$Q:$Q,0),1))</f>
        <v>Černý Radek</v>
      </c>
      <c r="C13" s="4">
        <v>0</v>
      </c>
      <c r="D13" s="39">
        <f t="shared" si="0"/>
        <v>7</v>
      </c>
      <c r="E13" s="53">
        <f t="shared" si="1"/>
        <v>8.5</v>
      </c>
      <c r="F13" s="56"/>
      <c r="G13" s="57" t="str">
        <f>IF(ISNA(MATCH(CONCATENATE(G$2,$A13),'Výsledková listina'!$Q:$Q,0)),"",INDEX('Výsledková listina'!$B:$B,MATCH(CONCATENATE(G$2,$A13),'Výsledková listina'!$Q:$Q,0),1))</f>
        <v>Hrabal Vladimír</v>
      </c>
      <c r="H13" s="4">
        <v>0</v>
      </c>
      <c r="I13" s="39">
        <f t="shared" si="2"/>
        <v>4</v>
      </c>
      <c r="J13" s="53">
        <f t="shared" si="3"/>
        <v>7</v>
      </c>
      <c r="K13" s="56"/>
      <c r="L13" s="57" t="str">
        <f>IF(ISNA(MATCH(CONCATENATE(L$2,$A13),'Výsledková listina'!$Q:$Q,0)),"",INDEX('Výsledková listina'!$B:$B,MATCH(CONCATENATE(L$2,$A13),'Výsledková listina'!$Q:$Q,0),1))</f>
        <v>Hlína Václav</v>
      </c>
      <c r="M13" s="4">
        <v>0</v>
      </c>
      <c r="N13" s="39">
        <f t="shared" si="4"/>
        <v>5</v>
      </c>
      <c r="O13" s="53">
        <f t="shared" si="5"/>
        <v>7.5</v>
      </c>
      <c r="P13" s="56"/>
      <c r="Q13" s="57" t="str">
        <f>IF(ISNA(MATCH(CONCATENATE(Q$2,$A13),'Výsledková listina'!$Q:$Q,0)),"",INDEX('Výsledková listina'!$B:$B,MATCH(CONCATENATE(Q$2,$A13),'Výsledková listina'!$Q:$Q,0),1))</f>
        <v>Soukup Michal</v>
      </c>
      <c r="R13" s="4">
        <v>0</v>
      </c>
      <c r="S13" s="39">
        <f t="shared" si="6"/>
        <v>4</v>
      </c>
      <c r="T13" s="53">
        <f t="shared" si="7"/>
        <v>7</v>
      </c>
      <c r="U13" s="56"/>
      <c r="V13" s="57" t="str">
        <f>IF(ISNA(MATCH(CONCATENATE(V$2,$A13),'Výsledková listina'!$Q:$Q,0)),"",INDEX('Výsledková listina'!$B:$B,MATCH(CONCATENATE(V$2,$A13),'Výsledková listina'!$Q:$Q,0),1))</f>
        <v>Pelíšek František</v>
      </c>
      <c r="W13" s="4">
        <v>0</v>
      </c>
      <c r="X13" s="39">
        <f t="shared" si="8"/>
        <v>4</v>
      </c>
      <c r="Y13" s="53">
        <f t="shared" si="9"/>
        <v>7</v>
      </c>
      <c r="Z13" s="56"/>
      <c r="AA13" s="57" t="str">
        <f>IF(ISNA(MATCH(CONCATENATE(AA$2,$A13),'Výsledková listina'!$Q:$Q,0)),"",INDEX('Výsledková listina'!$B:$B,MATCH(CONCATENATE(AA$2,$A13),'Výsledková listina'!$Q:$Q,0),1))</f>
        <v>Podrápský Petr</v>
      </c>
      <c r="AB13" s="4">
        <v>1720</v>
      </c>
      <c r="AC13" s="39">
        <f t="shared" si="10"/>
        <v>2</v>
      </c>
      <c r="AD13" s="53">
        <f t="shared" si="11"/>
        <v>2</v>
      </c>
      <c r="AE13" s="56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</row>
  </sheetData>
  <sheetProtection/>
  <mergeCells count="13">
    <mergeCell ref="A1:A3"/>
    <mergeCell ref="B1:F1"/>
    <mergeCell ref="B2:F2"/>
    <mergeCell ref="V1:Z1"/>
    <mergeCell ref="V2:Z2"/>
    <mergeCell ref="G1:K1"/>
    <mergeCell ref="AA2:AE2"/>
    <mergeCell ref="L1:P1"/>
    <mergeCell ref="Q1:U1"/>
    <mergeCell ref="G2:K2"/>
    <mergeCell ref="L2:P2"/>
    <mergeCell ref="Q2:U2"/>
    <mergeCell ref="AA1:AE1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landscape" pageOrder="overThenDown" paperSize="9" r:id="rId1"/>
  <headerFooter alignWithMargins="0">
    <oddHeader>&amp;C&amp;"Arial CE,tučné"&amp;12&amp;A</oddHeader>
    <oddFooter>&amp;CStránka &amp;P z &amp;N&amp;R&amp;F</oddFooter>
  </headerFooter>
  <colBreaks count="5" manualBreakCount="5">
    <brk id="6" max="65535" man="1"/>
    <brk id="11" max="65535" man="1"/>
    <brk id="16" max="65535" man="1"/>
    <brk id="21" max="65535" man="1"/>
    <brk id="2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13"/>
  <sheetViews>
    <sheetView showGridLines="0" view="pageBreakPreview" zoomScale="75" zoomScaleNormal="50" zoomScaleSheetLayoutView="75" zoomScalePageLayoutView="0" workbookViewId="0" topLeftCell="A1">
      <pane xSplit="1" ySplit="3" topLeftCell="M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M4" sqref="M4"/>
    </sheetView>
  </sheetViews>
  <sheetFormatPr defaultColWidth="5.25390625" defaultRowHeight="12.75"/>
  <cols>
    <col min="1" max="1" width="6.625" style="9" customWidth="1"/>
    <col min="2" max="2" width="37.00390625" style="13" customWidth="1"/>
    <col min="3" max="3" width="15.375" style="11" customWidth="1"/>
    <col min="4" max="4" width="4.00390625" style="36" hidden="1" customWidth="1"/>
    <col min="5" max="5" width="8.00390625" style="6" customWidth="1"/>
    <col min="6" max="6" width="22.00390625" style="6" customWidth="1"/>
    <col min="7" max="7" width="37.00390625" style="13" customWidth="1"/>
    <col min="8" max="8" width="15.375" style="11" customWidth="1"/>
    <col min="9" max="9" width="4.00390625" style="12" hidden="1" customWidth="1"/>
    <col min="10" max="10" width="8.00390625" style="6" customWidth="1"/>
    <col min="11" max="11" width="22.00390625" style="6" customWidth="1"/>
    <col min="12" max="12" width="37.00390625" style="13" customWidth="1"/>
    <col min="13" max="13" width="15.375" style="11" customWidth="1"/>
    <col min="14" max="14" width="4.00390625" style="12" hidden="1" customWidth="1"/>
    <col min="15" max="15" width="8.00390625" style="6" customWidth="1"/>
    <col min="16" max="16" width="22.00390625" style="6" customWidth="1"/>
    <col min="17" max="17" width="37.00390625" style="13" customWidth="1"/>
    <col min="18" max="18" width="15.375" style="11" customWidth="1"/>
    <col min="19" max="19" width="4.00390625" style="12" hidden="1" customWidth="1"/>
    <col min="20" max="20" width="8.00390625" style="6" customWidth="1"/>
    <col min="21" max="21" width="22.00390625" style="6" customWidth="1"/>
    <col min="22" max="22" width="37.00390625" style="13" customWidth="1"/>
    <col min="23" max="23" width="15.375" style="11" customWidth="1"/>
    <col min="24" max="24" width="4.00390625" style="12" hidden="1" customWidth="1"/>
    <col min="25" max="25" width="8.00390625" style="6" customWidth="1"/>
    <col min="26" max="26" width="22.00390625" style="6" customWidth="1"/>
    <col min="27" max="27" width="31.75390625" style="11" customWidth="1"/>
    <col min="28" max="28" width="15.25390625" style="11" customWidth="1"/>
    <col min="29" max="29" width="0.12890625" style="11" customWidth="1"/>
    <col min="30" max="30" width="7.625" style="11" customWidth="1"/>
    <col min="31" max="31" width="30.25390625" style="11" customWidth="1"/>
    <col min="32" max="94" width="5.25390625" style="11" customWidth="1"/>
    <col min="95" max="16384" width="5.25390625" style="12" customWidth="1"/>
  </cols>
  <sheetData>
    <row r="1" spans="1:31" ht="16.5" customHeight="1">
      <c r="A1" s="212" t="s">
        <v>13</v>
      </c>
      <c r="B1" s="209" t="s">
        <v>28</v>
      </c>
      <c r="C1" s="210"/>
      <c r="D1" s="210"/>
      <c r="E1" s="210"/>
      <c r="F1" s="211"/>
      <c r="G1" s="209" t="s">
        <v>28</v>
      </c>
      <c r="H1" s="210"/>
      <c r="I1" s="210"/>
      <c r="J1" s="210"/>
      <c r="K1" s="211"/>
      <c r="L1" s="209" t="s">
        <v>28</v>
      </c>
      <c r="M1" s="210"/>
      <c r="N1" s="210"/>
      <c r="O1" s="210"/>
      <c r="P1" s="211"/>
      <c r="Q1" s="209" t="s">
        <v>28</v>
      </c>
      <c r="R1" s="210"/>
      <c r="S1" s="210"/>
      <c r="T1" s="210"/>
      <c r="U1" s="211"/>
      <c r="V1" s="209" t="s">
        <v>28</v>
      </c>
      <c r="W1" s="210"/>
      <c r="X1" s="210"/>
      <c r="Y1" s="210"/>
      <c r="Z1" s="211"/>
      <c r="AA1" s="209" t="s">
        <v>28</v>
      </c>
      <c r="AB1" s="210"/>
      <c r="AC1" s="210"/>
      <c r="AD1" s="210"/>
      <c r="AE1" s="211"/>
    </row>
    <row r="2" spans="1:94" s="6" customFormat="1" ht="16.5" customHeight="1" thickBot="1">
      <c r="A2" s="213"/>
      <c r="B2" s="215" t="str">
        <f>'1. závod'!B2:E2</f>
        <v>A</v>
      </c>
      <c r="C2" s="216"/>
      <c r="D2" s="216"/>
      <c r="E2" s="216"/>
      <c r="F2" s="217"/>
      <c r="G2" s="215" t="str">
        <f>IF(ISBLANK('Základní list'!$A12),"",'Základní list'!$A12)</f>
        <v>B</v>
      </c>
      <c r="H2" s="216"/>
      <c r="I2" s="216"/>
      <c r="J2" s="216"/>
      <c r="K2" s="217"/>
      <c r="L2" s="215" t="str">
        <f>IF(ISBLANK('Základní list'!$A13),"",'Základní list'!$A13)</f>
        <v>C</v>
      </c>
      <c r="M2" s="216"/>
      <c r="N2" s="216"/>
      <c r="O2" s="216"/>
      <c r="P2" s="217"/>
      <c r="Q2" s="215" t="str">
        <f>IF(ISBLANK('Základní list'!$A14),"",'Základní list'!$A14)</f>
        <v>D</v>
      </c>
      <c r="R2" s="216"/>
      <c r="S2" s="216"/>
      <c r="T2" s="216"/>
      <c r="U2" s="217"/>
      <c r="V2" s="215" t="str">
        <f>IF(ISBLANK('Základní list'!$A15),"",'Základní list'!$A15)</f>
        <v>E</v>
      </c>
      <c r="W2" s="216"/>
      <c r="X2" s="216"/>
      <c r="Y2" s="216"/>
      <c r="Z2" s="217"/>
      <c r="AA2" s="215" t="str">
        <f>IF(ISBLANK('[1]Základní list'!$A16),"",'[1]Základní list'!$A16)</f>
        <v>F</v>
      </c>
      <c r="AB2" s="216"/>
      <c r="AC2" s="216"/>
      <c r="AD2" s="216"/>
      <c r="AE2" s="217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</row>
    <row r="3" spans="1:94" s="7" customFormat="1" ht="25.5" customHeight="1" thickBot="1">
      <c r="A3" s="214"/>
      <c r="B3" s="1" t="s">
        <v>14</v>
      </c>
      <c r="C3" s="2" t="s">
        <v>15</v>
      </c>
      <c r="D3" s="38" t="s">
        <v>27</v>
      </c>
      <c r="E3" s="52" t="s">
        <v>16</v>
      </c>
      <c r="F3" s="72" t="s">
        <v>51</v>
      </c>
      <c r="G3" s="1" t="s">
        <v>14</v>
      </c>
      <c r="H3" s="2" t="s">
        <v>15</v>
      </c>
      <c r="I3" s="38" t="s">
        <v>27</v>
      </c>
      <c r="J3" s="52" t="s">
        <v>16</v>
      </c>
      <c r="K3" s="72" t="s">
        <v>51</v>
      </c>
      <c r="L3" s="1" t="s">
        <v>14</v>
      </c>
      <c r="M3" s="2" t="s">
        <v>15</v>
      </c>
      <c r="N3" s="38" t="s">
        <v>27</v>
      </c>
      <c r="O3" s="52" t="s">
        <v>16</v>
      </c>
      <c r="P3" s="72" t="s">
        <v>51</v>
      </c>
      <c r="Q3" s="1" t="s">
        <v>14</v>
      </c>
      <c r="R3" s="2" t="s">
        <v>15</v>
      </c>
      <c r="S3" s="38" t="s">
        <v>27</v>
      </c>
      <c r="T3" s="52" t="s">
        <v>16</v>
      </c>
      <c r="U3" s="72" t="s">
        <v>51</v>
      </c>
      <c r="V3" s="1" t="s">
        <v>14</v>
      </c>
      <c r="W3" s="2" t="s">
        <v>15</v>
      </c>
      <c r="X3" s="38" t="s">
        <v>27</v>
      </c>
      <c r="Y3" s="52" t="s">
        <v>16</v>
      </c>
      <c r="Z3" s="72" t="s">
        <v>51</v>
      </c>
      <c r="AA3" s="1" t="s">
        <v>14</v>
      </c>
      <c r="AB3" s="2" t="s">
        <v>15</v>
      </c>
      <c r="AC3" s="38" t="s">
        <v>27</v>
      </c>
      <c r="AD3" s="52" t="s">
        <v>16</v>
      </c>
      <c r="AE3" s="72" t="s">
        <v>51</v>
      </c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</row>
    <row r="4" spans="1:94" s="8" customFormat="1" ht="34.5" customHeight="1">
      <c r="A4" s="3">
        <v>1</v>
      </c>
      <c r="B4" s="57" t="str">
        <f>IF(ISNA(MATCH(CONCATENATE(B$2,$A4),'Výsledková listina'!$R:$R,0)),"",INDEX('Výsledková listina'!$B:$B,MATCH(CONCATENATE(B$2,$A4),'Výsledková listina'!$R:$R,0),1))</f>
        <v>Bromovský Petr</v>
      </c>
      <c r="C4" s="4">
        <v>120</v>
      </c>
      <c r="D4" s="39">
        <f aca="true" t="shared" si="0" ref="D4:D13">IF(C4="","",RANK(C4,C$1:C$65536,0))</f>
        <v>4</v>
      </c>
      <c r="E4" s="73">
        <f aca="true" t="shared" si="1" ref="E4:E13">IF(C4="","",((RANK(C4,C$1:C$65536,0))+(FREQUENCY(D$1:D$65536,D4)))/2)</f>
        <v>4</v>
      </c>
      <c r="F4" s="58"/>
      <c r="G4" s="57" t="str">
        <f>IF(ISNA(MATCH(CONCATENATE(G$2,$A4),'Výsledková listina'!$R:$R,0)),"",INDEX('Výsledková listina'!$B:$B,MATCH(CONCATENATE(G$2,$A4),'Výsledková listina'!$R:$R,0),1))</f>
        <v>Jurka Jiří</v>
      </c>
      <c r="H4" s="4">
        <v>0</v>
      </c>
      <c r="I4" s="39">
        <f aca="true" t="shared" si="2" ref="I4:I13">IF(H4="","",RANK(H4,H$1:H$65536,0))</f>
        <v>1</v>
      </c>
      <c r="J4" s="73">
        <f aca="true" t="shared" si="3" ref="J4:J13">IF(H4="","",((RANK(H4,H$1:H$65536,0))+(FREQUENCY(I$1:I$65536,I4)))/2)</f>
        <v>5.5</v>
      </c>
      <c r="K4" s="58"/>
      <c r="L4" s="57" t="str">
        <f>IF(ISNA(MATCH(CONCATENATE(L$2,$A4),'Výsledková listina'!$R:$R,0)),"",INDEX('Výsledková listina'!$B:$B,MATCH(CONCATENATE(L$2,$A4),'Výsledková listina'!$R:$R,0),1))</f>
        <v>Čečil Lukáš</v>
      </c>
      <c r="M4" s="4">
        <v>0</v>
      </c>
      <c r="N4" s="39">
        <f aca="true" t="shared" si="4" ref="N4:N13">IF(M4="","",RANK(M4,M$1:M$65536,0))</f>
        <v>2</v>
      </c>
      <c r="O4" s="73">
        <f aca="true" t="shared" si="5" ref="O4:O13">IF(M4="","",((RANK(M4,M$1:M$65536,0))+(FREQUENCY(N$1:N$65536,N4)))/2)</f>
        <v>6</v>
      </c>
      <c r="P4" s="58"/>
      <c r="Q4" s="57" t="str">
        <f>IF(ISNA(MATCH(CONCATENATE(Q$2,$A4),'Výsledková listina'!$R:$R,0)),"",INDEX('Výsledková listina'!$B:$B,MATCH(CONCATENATE(Q$2,$A4),'Výsledková listina'!$R:$R,0),1))</f>
        <v>Kuchař Petr</v>
      </c>
      <c r="R4" s="4">
        <v>0</v>
      </c>
      <c r="S4" s="39">
        <f aca="true" t="shared" si="6" ref="S4:S13">IF(R4="","",RANK(R4,R$1:R$65536,0))</f>
        <v>4</v>
      </c>
      <c r="T4" s="73">
        <f aca="true" t="shared" si="7" ref="T4:T13">IF(R4="","",((RANK(R4,R$1:R$65536,0))+(FREQUENCY(S$1:S$65536,S4)))/2)</f>
        <v>7</v>
      </c>
      <c r="U4" s="58"/>
      <c r="V4" s="57" t="str">
        <f>IF(ISNA(MATCH(CONCATENATE(V$2,$A4),'Výsledková listina'!$R:$R,0)),"",INDEX('Výsledková listina'!$B:$B,MATCH(CONCATENATE(V$2,$A4),'Výsledková listina'!$R:$R,0),1))</f>
        <v>Kadlec Tomáš</v>
      </c>
      <c r="W4" s="4">
        <v>0</v>
      </c>
      <c r="X4" s="39">
        <f aca="true" t="shared" si="8" ref="X4:X13">IF(W4="","",RANK(W4,W$1:W$65536,0))</f>
        <v>6</v>
      </c>
      <c r="Y4" s="73">
        <f aca="true" t="shared" si="9" ref="Y4:Y13">IF(W4="","",((RANK(W4,W$1:W$65536,0))+(FREQUENCY(X$1:X$65536,X4)))/2)</f>
        <v>8</v>
      </c>
      <c r="Z4" s="58"/>
      <c r="AA4" s="57" t="str">
        <f>IF(ISNA(MATCH(CONCATENATE(AA$2,$A4),'Výsledková listina'!$R:$R,0)),"",INDEX('Výsledková listina'!$B:$B,MATCH(CONCATENATE(AA$2,$A4),'Výsledková listina'!$R:$R,0),1))</f>
        <v>Stříbrský Voktor</v>
      </c>
      <c r="AB4" s="4">
        <v>240</v>
      </c>
      <c r="AC4" s="39">
        <f aca="true" t="shared" si="10" ref="AC4:AC13">IF(AB4="","",RANK(AB4,AB$1:AB$65536,0))</f>
        <v>6</v>
      </c>
      <c r="AD4" s="73">
        <f aca="true" t="shared" si="11" ref="AD4:AD13">IF(AB4="","",((RANK(AB4,AB$1:AB$65536,0))+(FREQUENCY(AC$1:AC$65536,AC4)))/2)</f>
        <v>6</v>
      </c>
      <c r="AE4" s="58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</row>
    <row r="5" spans="1:94" s="8" customFormat="1" ht="34.5" customHeight="1">
      <c r="A5" s="5">
        <v>2</v>
      </c>
      <c r="B5" s="57" t="str">
        <f>IF(ISNA(MATCH(CONCATENATE(B$2,$A5),'Výsledková listina'!$R:$R,0)),"",INDEX('Výsledková listina'!$B:$B,MATCH(CONCATENATE(B$2,$A5),'Výsledková listina'!$R:$R,0),1))</f>
        <v>Štěpnička Martin</v>
      </c>
      <c r="C5" s="4">
        <v>2060</v>
      </c>
      <c r="D5" s="39">
        <f t="shared" si="0"/>
        <v>1</v>
      </c>
      <c r="E5" s="73">
        <f t="shared" si="1"/>
        <v>1</v>
      </c>
      <c r="F5" s="58"/>
      <c r="G5" s="57" t="str">
        <f>IF(ISNA(MATCH(CONCATENATE(G$2,$A5),'Výsledková listina'!$R:$R,0)),"",INDEX('Výsledková listina'!$B:$B,MATCH(CONCATENATE(G$2,$A5),'Výsledková listina'!$R:$R,0),1))</f>
        <v>Bruner Václav</v>
      </c>
      <c r="H5" s="4">
        <v>0</v>
      </c>
      <c r="I5" s="39">
        <f t="shared" si="2"/>
        <v>1</v>
      </c>
      <c r="J5" s="73">
        <f t="shared" si="3"/>
        <v>5.5</v>
      </c>
      <c r="K5" s="58"/>
      <c r="L5" s="57" t="str">
        <f>IF(ISNA(MATCH(CONCATENATE(L$2,$A5),'Výsledková listina'!$R:$R,0)),"",INDEX('Výsledková listina'!$B:$B,MATCH(CONCATENATE(L$2,$A5),'Výsledková listina'!$R:$R,0),1))</f>
        <v>Kasl Luboš</v>
      </c>
      <c r="M5" s="4">
        <v>0</v>
      </c>
      <c r="N5" s="39">
        <f t="shared" si="4"/>
        <v>2</v>
      </c>
      <c r="O5" s="73">
        <f t="shared" si="5"/>
        <v>6</v>
      </c>
      <c r="P5" s="58"/>
      <c r="Q5" s="57" t="str">
        <f>IF(ISNA(MATCH(CONCATENATE(Q$2,$A5),'Výsledková listina'!$R:$R,0)),"",INDEX('Výsledková listina'!$B:$B,MATCH(CONCATENATE(Q$2,$A5),'Výsledková listina'!$R:$R,0),1))</f>
        <v>Staněk Karel</v>
      </c>
      <c r="R5" s="4">
        <v>0</v>
      </c>
      <c r="S5" s="39">
        <f t="shared" si="6"/>
        <v>4</v>
      </c>
      <c r="T5" s="73">
        <f t="shared" si="7"/>
        <v>7</v>
      </c>
      <c r="U5" s="58"/>
      <c r="V5" s="57" t="str">
        <f>IF(ISNA(MATCH(CONCATENATE(V$2,$A5),'Výsledková listina'!$R:$R,0)),"",INDEX('Výsledková listina'!$B:$B,MATCH(CONCATENATE(V$2,$A5),'Výsledková listina'!$R:$R,0),1))</f>
        <v>Fejfar Kamil</v>
      </c>
      <c r="W5" s="4">
        <v>520</v>
      </c>
      <c r="X5" s="39">
        <f t="shared" si="8"/>
        <v>1</v>
      </c>
      <c r="Y5" s="73">
        <f t="shared" si="9"/>
        <v>1</v>
      </c>
      <c r="Z5" s="58"/>
      <c r="AA5" s="57" t="str">
        <f>IF(ISNA(MATCH(CONCATENATE(AA$2,$A5),'Výsledková listina'!$R:$R,0)),"",INDEX('Výsledková listina'!$B:$B,MATCH(CONCATENATE(AA$2,$A5),'Výsledková listina'!$R:$R,0),1))</f>
        <v>Oliva Vladimír</v>
      </c>
      <c r="AB5" s="4">
        <v>0</v>
      </c>
      <c r="AC5" s="39">
        <f t="shared" si="10"/>
        <v>7</v>
      </c>
      <c r="AD5" s="73">
        <f t="shared" si="11"/>
        <v>8.5</v>
      </c>
      <c r="AE5" s="58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</row>
    <row r="6" spans="1:94" s="8" customFormat="1" ht="34.5" customHeight="1">
      <c r="A6" s="5">
        <v>3</v>
      </c>
      <c r="B6" s="57" t="str">
        <f>IF(ISNA(MATCH(CONCATENATE(B$2,$A6),'Výsledková listina'!$R:$R,0)),"",INDEX('Výsledková listina'!$B:$B,MATCH(CONCATENATE(B$2,$A6),'Výsledková listina'!$R:$R,0),1))</f>
        <v>Smutný Jiří</v>
      </c>
      <c r="C6" s="4">
        <v>0</v>
      </c>
      <c r="D6" s="39">
        <f t="shared" si="0"/>
        <v>6</v>
      </c>
      <c r="E6" s="73">
        <f t="shared" si="1"/>
        <v>8</v>
      </c>
      <c r="F6" s="58"/>
      <c r="G6" s="57" t="str">
        <f>IF(ISNA(MATCH(CONCATENATE(G$2,$A6),'Výsledková listina'!$R:$R,0)),"",INDEX('Výsledková listina'!$B:$B,MATCH(CONCATENATE(G$2,$A6),'Výsledková listina'!$R:$R,0),1))</f>
        <v>Ševčík Ladislav</v>
      </c>
      <c r="H6" s="4">
        <v>0</v>
      </c>
      <c r="I6" s="39">
        <f t="shared" si="2"/>
        <v>1</v>
      </c>
      <c r="J6" s="73">
        <f t="shared" si="3"/>
        <v>5.5</v>
      </c>
      <c r="K6" s="58"/>
      <c r="L6" s="57" t="str">
        <f>IF(ISNA(MATCH(CONCATENATE(L$2,$A6),'Výsledková listina'!$R:$R,0)),"",INDEX('Výsledková listina'!$B:$B,MATCH(CONCATENATE(L$2,$A6),'Výsledková listina'!$R:$R,0),1))</f>
        <v>Stejskal Miroslav</v>
      </c>
      <c r="M6" s="4">
        <v>0</v>
      </c>
      <c r="N6" s="39">
        <f t="shared" si="4"/>
        <v>2</v>
      </c>
      <c r="O6" s="73">
        <f t="shared" si="5"/>
        <v>6</v>
      </c>
      <c r="P6" s="58"/>
      <c r="Q6" s="57" t="str">
        <f>IF(ISNA(MATCH(CONCATENATE(Q$2,$A6),'Výsledková listina'!$R:$R,0)),"",INDEX('Výsledková listina'!$B:$B,MATCH(CONCATENATE(Q$2,$A6),'Výsledková listina'!$R:$R,0),1))</f>
        <v>Černý Radek</v>
      </c>
      <c r="R6" s="4">
        <v>0</v>
      </c>
      <c r="S6" s="39">
        <f t="shared" si="6"/>
        <v>4</v>
      </c>
      <c r="T6" s="73">
        <f t="shared" si="7"/>
        <v>7</v>
      </c>
      <c r="U6" s="58"/>
      <c r="V6" s="57" t="str">
        <f>IF(ISNA(MATCH(CONCATENATE(V$2,$A6),'Výsledková listina'!$R:$R,0)),"",INDEX('Výsledková listina'!$B:$B,MATCH(CONCATENATE(V$2,$A6),'Výsledková listina'!$R:$R,0),1))</f>
        <v>Kodýdek Jiří</v>
      </c>
      <c r="W6" s="4">
        <v>60</v>
      </c>
      <c r="X6" s="39">
        <f t="shared" si="8"/>
        <v>4</v>
      </c>
      <c r="Y6" s="73">
        <f t="shared" si="9"/>
        <v>4</v>
      </c>
      <c r="Z6" s="58"/>
      <c r="AA6" s="57" t="str">
        <f>IF(ISNA(MATCH(CONCATENATE(AA$2,$A6),'Výsledková listina'!$R:$R,0)),"",INDEX('Výsledková listina'!$B:$B,MATCH(CONCATENATE(AA$2,$A6),'Výsledková listina'!$R:$R,0),1))</f>
        <v>Bartoň Roman</v>
      </c>
      <c r="AB6" s="4">
        <v>920</v>
      </c>
      <c r="AC6" s="39">
        <f t="shared" si="10"/>
        <v>2</v>
      </c>
      <c r="AD6" s="73">
        <f t="shared" si="11"/>
        <v>2</v>
      </c>
      <c r="AE6" s="58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</row>
    <row r="7" spans="1:94" s="8" customFormat="1" ht="34.5" customHeight="1">
      <c r="A7" s="5">
        <v>4</v>
      </c>
      <c r="B7" s="57" t="str">
        <f>IF(ISNA(MATCH(CONCATENATE(B$2,$A7),'Výsledková listina'!$R:$R,0)),"",INDEX('Výsledková listina'!$B:$B,MATCH(CONCATENATE(B$2,$A7),'Výsledková listina'!$R:$R,0),1))</f>
        <v>Kuneš Luboš</v>
      </c>
      <c r="C7" s="4">
        <v>0</v>
      </c>
      <c r="D7" s="39">
        <f t="shared" si="0"/>
        <v>6</v>
      </c>
      <c r="E7" s="73">
        <f t="shared" si="1"/>
        <v>8</v>
      </c>
      <c r="F7" s="58"/>
      <c r="G7" s="57" t="str">
        <f>IF(ISNA(MATCH(CONCATENATE(G$2,$A7),'Výsledková listina'!$R:$R,0)),"",INDEX('Výsledková listina'!$B:$B,MATCH(CONCATENATE(G$2,$A7),'Výsledková listina'!$R:$R,0),1))</f>
        <v>Hlína Václav</v>
      </c>
      <c r="H7" s="4">
        <v>0</v>
      </c>
      <c r="I7" s="39">
        <f t="shared" si="2"/>
        <v>1</v>
      </c>
      <c r="J7" s="73">
        <f t="shared" si="3"/>
        <v>5.5</v>
      </c>
      <c r="K7" s="58"/>
      <c r="L7" s="57" t="str">
        <f>IF(ISNA(MATCH(CONCATENATE(L$2,$A7),'Výsledková listina'!$R:$R,0)),"",INDEX('Výsledková listina'!$B:$B,MATCH(CONCATENATE(L$2,$A7),'Výsledková listina'!$R:$R,0),1))</f>
        <v>Sičák Pavel</v>
      </c>
      <c r="M7" s="4">
        <v>0</v>
      </c>
      <c r="N7" s="39">
        <f t="shared" si="4"/>
        <v>2</v>
      </c>
      <c r="O7" s="73">
        <f t="shared" si="5"/>
        <v>6</v>
      </c>
      <c r="P7" s="58"/>
      <c r="Q7" s="57" t="str">
        <f>IF(ISNA(MATCH(CONCATENATE(Q$2,$A7),'Výsledková listina'!$R:$R,0)),"",INDEX('Výsledková listina'!$B:$B,MATCH(CONCATENATE(Q$2,$A7),'Výsledková listina'!$R:$R,0),1))</f>
        <v>Vitásek Jiří</v>
      </c>
      <c r="R7" s="4">
        <v>40</v>
      </c>
      <c r="S7" s="39">
        <f t="shared" si="6"/>
        <v>3</v>
      </c>
      <c r="T7" s="73">
        <f t="shared" si="7"/>
        <v>3</v>
      </c>
      <c r="U7" s="58"/>
      <c r="V7" s="57" t="str">
        <f>IF(ISNA(MATCH(CONCATENATE(V$2,$A7),'Výsledková listina'!$R:$R,0)),"",INDEX('Výsledková listina'!$B:$B,MATCH(CONCATENATE(V$2,$A7),'Výsledková listina'!$R:$R,0),1))</f>
        <v>Douša Jan</v>
      </c>
      <c r="W7" s="4">
        <v>0</v>
      </c>
      <c r="X7" s="39">
        <f t="shared" si="8"/>
        <v>6</v>
      </c>
      <c r="Y7" s="73">
        <f t="shared" si="9"/>
        <v>8</v>
      </c>
      <c r="Z7" s="58"/>
      <c r="AA7" s="57" t="str">
        <f>IF(ISNA(MATCH(CONCATENATE(AA$2,$A7),'Výsledková listina'!$R:$R,0)),"",INDEX('Výsledková listina'!$B:$B,MATCH(CONCATENATE(AA$2,$A7),'Výsledková listina'!$R:$R,0),1))</f>
        <v>František Koubek</v>
      </c>
      <c r="AB7" s="4">
        <v>0</v>
      </c>
      <c r="AC7" s="39">
        <f t="shared" si="10"/>
        <v>7</v>
      </c>
      <c r="AD7" s="73">
        <f t="shared" si="11"/>
        <v>8.5</v>
      </c>
      <c r="AE7" s="58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</row>
    <row r="8" spans="1:94" s="8" customFormat="1" ht="34.5" customHeight="1">
      <c r="A8" s="5">
        <v>5</v>
      </c>
      <c r="B8" s="57" t="str">
        <f>IF(ISNA(MATCH(CONCATENATE(B$2,$A8),'Výsledková listina'!$R:$R,0)),"",INDEX('Výsledková listina'!$B:$B,MATCH(CONCATENATE(B$2,$A8),'Výsledková listina'!$R:$R,0),1))</f>
        <v>Soukup Michal</v>
      </c>
      <c r="C8" s="4">
        <v>280</v>
      </c>
      <c r="D8" s="39">
        <f t="shared" si="0"/>
        <v>3</v>
      </c>
      <c r="E8" s="73">
        <f t="shared" si="1"/>
        <v>3</v>
      </c>
      <c r="F8" s="58"/>
      <c r="G8" s="57" t="str">
        <f>IF(ISNA(MATCH(CONCATENATE(G$2,$A8),'Výsledková listina'!$R:$R,0)),"",INDEX('Výsledková listina'!$B:$B,MATCH(CONCATENATE(G$2,$A8),'Výsledková listina'!$R:$R,0),1))</f>
        <v>Dorotík Tomáš</v>
      </c>
      <c r="H8" s="4">
        <v>0</v>
      </c>
      <c r="I8" s="39">
        <f t="shared" si="2"/>
        <v>1</v>
      </c>
      <c r="J8" s="73">
        <f t="shared" si="3"/>
        <v>5.5</v>
      </c>
      <c r="K8" s="58"/>
      <c r="L8" s="57" t="str">
        <f>IF(ISNA(MATCH(CONCATENATE(L$2,$A8),'Výsledková listina'!$R:$R,0)),"",INDEX('Výsledková listina'!$B:$B,MATCH(CONCATENATE(L$2,$A8),'Výsledková listina'!$R:$R,0),1))</f>
        <v>Kabourek Václav</v>
      </c>
      <c r="M8" s="4">
        <v>0</v>
      </c>
      <c r="N8" s="39">
        <f t="shared" si="4"/>
        <v>2</v>
      </c>
      <c r="O8" s="73">
        <f t="shared" si="5"/>
        <v>6</v>
      </c>
      <c r="P8" s="58"/>
      <c r="Q8" s="57" t="str">
        <f>IF(ISNA(MATCH(CONCATENATE(Q$2,$A8),'Výsledková listina'!$R:$R,0)),"",INDEX('Výsledková listina'!$B:$B,MATCH(CONCATENATE(Q$2,$A8),'Výsledková listina'!$R:$R,0),1))</f>
        <v>Hahn Petr</v>
      </c>
      <c r="R8" s="4">
        <v>0</v>
      </c>
      <c r="S8" s="39">
        <f t="shared" si="6"/>
        <v>4</v>
      </c>
      <c r="T8" s="73">
        <f t="shared" si="7"/>
        <v>7</v>
      </c>
      <c r="U8" s="58"/>
      <c r="V8" s="57" t="str">
        <f>IF(ISNA(MATCH(CONCATENATE(V$2,$A8),'Výsledková listina'!$R:$R,0)),"",INDEX('Výsledková listina'!$B:$B,MATCH(CONCATENATE(V$2,$A8),'Výsledková listina'!$R:$R,0),1))</f>
        <v>Babica Ladislav</v>
      </c>
      <c r="W8" s="4">
        <v>0</v>
      </c>
      <c r="X8" s="39">
        <f t="shared" si="8"/>
        <v>6</v>
      </c>
      <c r="Y8" s="73">
        <f t="shared" si="9"/>
        <v>8</v>
      </c>
      <c r="Z8" s="58"/>
      <c r="AA8" s="57" t="str">
        <f>IF(ISNA(MATCH(CONCATENATE(AA$2,$A8),'Výsledková listina'!$R:$R,0)),"",INDEX('Výsledková listina'!$B:$B,MATCH(CONCATENATE(AA$2,$A8),'Výsledková listina'!$R:$R,0),1))</f>
        <v>Tóth Petr</v>
      </c>
      <c r="AB8" s="4">
        <v>0</v>
      </c>
      <c r="AC8" s="39">
        <f t="shared" si="10"/>
        <v>7</v>
      </c>
      <c r="AD8" s="73">
        <f t="shared" si="11"/>
        <v>8.5</v>
      </c>
      <c r="AE8" s="58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</row>
    <row r="9" spans="1:94" s="8" customFormat="1" ht="34.5" customHeight="1">
      <c r="A9" s="5">
        <v>6</v>
      </c>
      <c r="B9" s="57" t="str">
        <f>IF(ISNA(MATCH(CONCATENATE(B$2,$A9),'Výsledková listina'!$R:$R,0)),"",INDEX('Výsledková listina'!$B:$B,MATCH(CONCATENATE(B$2,$A9),'Výsledková listina'!$R:$R,0),1))</f>
        <v>Ouředniček Jiří</v>
      </c>
      <c r="C9" s="4">
        <v>60</v>
      </c>
      <c r="D9" s="39">
        <f t="shared" si="0"/>
        <v>5</v>
      </c>
      <c r="E9" s="73">
        <f t="shared" si="1"/>
        <v>5</v>
      </c>
      <c r="F9" s="58"/>
      <c r="G9" s="57" t="str">
        <f>IF(ISNA(MATCH(CONCATENATE(G$2,$A9),'Výsledková listina'!$R:$R,0)),"",INDEX('Výsledková listina'!$B:$B,MATCH(CONCATENATE(G$2,$A9),'Výsledková listina'!$R:$R,0),1))</f>
        <v>Baranka Vladimír</v>
      </c>
      <c r="H9" s="4">
        <v>0</v>
      </c>
      <c r="I9" s="39">
        <f t="shared" si="2"/>
        <v>1</v>
      </c>
      <c r="J9" s="73">
        <f t="shared" si="3"/>
        <v>5.5</v>
      </c>
      <c r="K9" s="58"/>
      <c r="L9" s="57" t="str">
        <f>IF(ISNA(MATCH(CONCATENATE(L$2,$A9),'Výsledková listina'!$R:$R,0)),"",INDEX('Výsledková listina'!$B:$B,MATCH(CONCATENATE(L$2,$A9),'Výsledková listina'!$R:$R,0),1))</f>
        <v>Srb Roman</v>
      </c>
      <c r="M9" s="4">
        <v>1780</v>
      </c>
      <c r="N9" s="39">
        <f t="shared" si="4"/>
        <v>1</v>
      </c>
      <c r="O9" s="73">
        <f t="shared" si="5"/>
        <v>1</v>
      </c>
      <c r="P9" s="58"/>
      <c r="Q9" s="57" t="str">
        <f>IF(ISNA(MATCH(CONCATENATE(Q$2,$A9),'Výsledková listina'!$R:$R,0)),"",INDEX('Výsledková listina'!$B:$B,MATCH(CONCATENATE(Q$2,$A9),'Výsledková listina'!$R:$R,0),1))</f>
        <v>Nocar Pavel</v>
      </c>
      <c r="R9" s="4">
        <v>100</v>
      </c>
      <c r="S9" s="39">
        <f t="shared" si="6"/>
        <v>2</v>
      </c>
      <c r="T9" s="73">
        <f t="shared" si="7"/>
        <v>2</v>
      </c>
      <c r="U9" s="58"/>
      <c r="V9" s="57" t="str">
        <f>IF(ISNA(MATCH(CONCATENATE(V$2,$A9),'Výsledková listina'!$R:$R,0)),"",INDEX('Výsledková listina'!$B:$B,MATCH(CONCATENATE(V$2,$A9),'Výsledková listina'!$R:$R,0),1))</f>
        <v>Sofron Pavel</v>
      </c>
      <c r="W9" s="4">
        <v>0</v>
      </c>
      <c r="X9" s="39">
        <f t="shared" si="8"/>
        <v>6</v>
      </c>
      <c r="Y9" s="73">
        <f t="shared" si="9"/>
        <v>8</v>
      </c>
      <c r="Z9" s="58"/>
      <c r="AA9" s="57" t="str">
        <f>IF(ISNA(MATCH(CONCATENATE(AA$2,$A9),'Výsledková listina'!$R:$R,0)),"",INDEX('Výsledková listina'!$B:$B,MATCH(CONCATENATE(AA$2,$A9),'Výsledková listina'!$R:$R,0),1))</f>
        <v>Chalupa Ladislav</v>
      </c>
      <c r="AB9" s="4">
        <v>1220</v>
      </c>
      <c r="AC9" s="39">
        <f t="shared" si="10"/>
        <v>1</v>
      </c>
      <c r="AD9" s="73">
        <f t="shared" si="11"/>
        <v>1</v>
      </c>
      <c r="AE9" s="58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</row>
    <row r="10" spans="1:94" s="8" customFormat="1" ht="34.5" customHeight="1">
      <c r="A10" s="5">
        <v>7</v>
      </c>
      <c r="B10" s="57" t="str">
        <f>IF(ISNA(MATCH(CONCATENATE(B$2,$A10),'Výsledková listina'!$R:$R,0)),"",INDEX('Výsledková listina'!$B:$B,MATCH(CONCATENATE(B$2,$A10),'Výsledková listina'!$R:$R,0),1))</f>
        <v>Šurgota Juraj</v>
      </c>
      <c r="C10" s="4">
        <v>640</v>
      </c>
      <c r="D10" s="39">
        <f t="shared" si="0"/>
        <v>2</v>
      </c>
      <c r="E10" s="73">
        <f t="shared" si="1"/>
        <v>2</v>
      </c>
      <c r="F10" s="58"/>
      <c r="G10" s="57" t="str">
        <f>IF(ISNA(MATCH(CONCATENATE(G$2,$A10),'Výsledková listina'!$R:$R,0)),"",INDEX('Výsledková listina'!$B:$B,MATCH(CONCATENATE(G$2,$A10),'Výsledková listina'!$R:$R,0),1))</f>
        <v>Novák Jan</v>
      </c>
      <c r="H10" s="4">
        <v>0</v>
      </c>
      <c r="I10" s="39">
        <f t="shared" si="2"/>
        <v>1</v>
      </c>
      <c r="J10" s="73">
        <f t="shared" si="3"/>
        <v>5.5</v>
      </c>
      <c r="K10" s="58"/>
      <c r="L10" s="57" t="str">
        <f>IF(ISNA(MATCH(CONCATENATE(L$2,$A10),'Výsledková listina'!$R:$R,0)),"",INDEX('Výsledková listina'!$B:$B,MATCH(CONCATENATE(L$2,$A10),'Výsledková listina'!$R:$R,0),1))</f>
        <v>Konopásek Jaroslav</v>
      </c>
      <c r="M10" s="4">
        <v>0</v>
      </c>
      <c r="N10" s="39">
        <f t="shared" si="4"/>
        <v>2</v>
      </c>
      <c r="O10" s="73">
        <f t="shared" si="5"/>
        <v>6</v>
      </c>
      <c r="P10" s="58"/>
      <c r="Q10" s="57" t="str">
        <f>IF(ISNA(MATCH(CONCATENATE(Q$2,$A10),'Výsledková listina'!$R:$R,0)),"",INDEX('Výsledková listina'!$B:$B,MATCH(CONCATENATE(Q$2,$A10),'Výsledková listina'!$R:$R,0),1))</f>
        <v>Zdvořáček David</v>
      </c>
      <c r="R10" s="4">
        <v>240</v>
      </c>
      <c r="S10" s="39">
        <f t="shared" si="6"/>
        <v>1</v>
      </c>
      <c r="T10" s="73">
        <f t="shared" si="7"/>
        <v>1</v>
      </c>
      <c r="U10" s="58"/>
      <c r="V10" s="57" t="str">
        <f>IF(ISNA(MATCH(CONCATENATE(V$2,$A10),'Výsledková listina'!$R:$R,0)),"",INDEX('Výsledková listina'!$B:$B,MATCH(CONCATENATE(V$2,$A10),'Výsledková listina'!$R:$R,0),1))</f>
        <v>Skála Petr</v>
      </c>
      <c r="W10" s="4">
        <v>0</v>
      </c>
      <c r="X10" s="39">
        <f t="shared" si="8"/>
        <v>6</v>
      </c>
      <c r="Y10" s="73">
        <f t="shared" si="9"/>
        <v>8</v>
      </c>
      <c r="Z10" s="58"/>
      <c r="AA10" s="57" t="str">
        <f>IF(ISNA(MATCH(CONCATENATE(AA$2,$A10),'Výsledková listina'!$R:$R,0)),"",INDEX('Výsledková listina'!$B:$B,MATCH(CONCATENATE(AA$2,$A10),'Výsledková listina'!$R:$R,0),1))</f>
        <v>Štěpnička Radek</v>
      </c>
      <c r="AB10" s="4">
        <v>0</v>
      </c>
      <c r="AC10" s="39">
        <f t="shared" si="10"/>
        <v>7</v>
      </c>
      <c r="AD10" s="73">
        <f t="shared" si="11"/>
        <v>8.5</v>
      </c>
      <c r="AE10" s="58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</row>
    <row r="11" spans="1:94" s="8" customFormat="1" ht="34.5" customHeight="1">
      <c r="A11" s="5">
        <v>8</v>
      </c>
      <c r="B11" s="57" t="str">
        <f>IF(ISNA(MATCH(CONCATENATE(B$2,$A11),'Výsledková listina'!$R:$R,0)),"",INDEX('Výsledková listina'!$B:$B,MATCH(CONCATENATE(B$2,$A11),'Výsledková listina'!$R:$R,0),1))</f>
        <v>Juřík Milan</v>
      </c>
      <c r="C11" s="4">
        <v>0</v>
      </c>
      <c r="D11" s="39">
        <f t="shared" si="0"/>
        <v>6</v>
      </c>
      <c r="E11" s="73">
        <f t="shared" si="1"/>
        <v>8</v>
      </c>
      <c r="F11" s="58"/>
      <c r="G11" s="57" t="str">
        <f>IF(ISNA(MATCH(CONCATENATE(G$2,$A11),'Výsledková listina'!$R:$R,0)),"",INDEX('Výsledková listina'!$B:$B,MATCH(CONCATENATE(G$2,$A11),'Výsledková listina'!$R:$R,0),1))</f>
        <v>Pelíšek František</v>
      </c>
      <c r="H11" s="4">
        <v>0</v>
      </c>
      <c r="I11" s="39">
        <f t="shared" si="2"/>
        <v>1</v>
      </c>
      <c r="J11" s="73">
        <f t="shared" si="3"/>
        <v>5.5</v>
      </c>
      <c r="K11" s="58"/>
      <c r="L11" s="57" t="str">
        <f>IF(ISNA(MATCH(CONCATENATE(L$2,$A11),'Výsledková listina'!$R:$R,0)),"",INDEX('Výsledková listina'!$B:$B,MATCH(CONCATENATE(L$2,$A11),'Výsledková listina'!$R:$R,0),1))</f>
        <v>Vinař René</v>
      </c>
      <c r="M11" s="4">
        <v>0</v>
      </c>
      <c r="N11" s="39">
        <f t="shared" si="4"/>
        <v>2</v>
      </c>
      <c r="O11" s="73">
        <f t="shared" si="5"/>
        <v>6</v>
      </c>
      <c r="P11" s="58"/>
      <c r="Q11" s="57" t="str">
        <f>IF(ISNA(MATCH(CONCATENATE(Q$2,$A11),'Výsledková listina'!$R:$R,0)),"",INDEX('Výsledková listina'!$B:$B,MATCH(CONCATENATE(Q$2,$A11),'Výsledková listina'!$R:$R,0),1))</f>
        <v>Funda Petr</v>
      </c>
      <c r="R11" s="4">
        <v>0</v>
      </c>
      <c r="S11" s="39">
        <f t="shared" si="6"/>
        <v>4</v>
      </c>
      <c r="T11" s="73">
        <f t="shared" si="7"/>
        <v>7</v>
      </c>
      <c r="U11" s="58"/>
      <c r="V11" s="57" t="str">
        <f>IF(ISNA(MATCH(CONCATENATE(V$2,$A11),'Výsledková listina'!$R:$R,0)),"",INDEX('Výsledková listina'!$B:$B,MATCH(CONCATENATE(V$2,$A11),'Výsledková listina'!$R:$R,0),1))</f>
        <v>Havlíček Petr</v>
      </c>
      <c r="W11" s="4">
        <v>120</v>
      </c>
      <c r="X11" s="39">
        <f t="shared" si="8"/>
        <v>3</v>
      </c>
      <c r="Y11" s="73">
        <f t="shared" si="9"/>
        <v>3</v>
      </c>
      <c r="Z11" s="58"/>
      <c r="AA11" s="57" t="str">
        <f>IF(ISNA(MATCH(CONCATENATE(AA$2,$A11),'Výsledková listina'!$R:$R,0)),"",INDEX('Výsledková listina'!$B:$B,MATCH(CONCATENATE(AA$2,$A11),'Výsledková listina'!$R:$R,0),1))</f>
        <v>Pavelka Viktor</v>
      </c>
      <c r="AB11" s="4">
        <v>420</v>
      </c>
      <c r="AC11" s="39">
        <f t="shared" si="10"/>
        <v>5</v>
      </c>
      <c r="AD11" s="73">
        <f t="shared" si="11"/>
        <v>5</v>
      </c>
      <c r="AE11" s="58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</row>
    <row r="12" spans="1:94" s="8" customFormat="1" ht="34.5" customHeight="1">
      <c r="A12" s="5">
        <v>9</v>
      </c>
      <c r="B12" s="57" t="str">
        <f>IF(ISNA(MATCH(CONCATENATE(B$2,$A12),'Výsledková listina'!$R:$R,0)),"",INDEX('Výsledková listina'!$B:$B,MATCH(CONCATENATE(B$2,$A12),'Výsledková listina'!$R:$R,0),1))</f>
        <v>Bořuta Pavel</v>
      </c>
      <c r="C12" s="4">
        <v>0</v>
      </c>
      <c r="D12" s="39">
        <f t="shared" si="0"/>
        <v>6</v>
      </c>
      <c r="E12" s="73">
        <f t="shared" si="1"/>
        <v>8</v>
      </c>
      <c r="F12" s="58"/>
      <c r="G12" s="57" t="str">
        <f>IF(ISNA(MATCH(CONCATENATE(G$2,$A12),'Výsledková listina'!$R:$R,0)),"",INDEX('Výsledková listina'!$B:$B,MATCH(CONCATENATE(G$2,$A12),'Výsledková listina'!$R:$R,0),1))</f>
        <v>Podrápský Petr</v>
      </c>
      <c r="H12" s="4">
        <v>0</v>
      </c>
      <c r="I12" s="39">
        <f t="shared" si="2"/>
        <v>1</v>
      </c>
      <c r="J12" s="73">
        <f t="shared" si="3"/>
        <v>5.5</v>
      </c>
      <c r="K12" s="58"/>
      <c r="L12" s="57" t="str">
        <f>IF(ISNA(MATCH(CONCATENATE(L$2,$A12),'Výsledková listina'!$R:$R,0)),"",INDEX('Výsledková listina'!$B:$B,MATCH(CONCATENATE(L$2,$A12),'Výsledková listina'!$R:$R,0),1))</f>
        <v>Štěpnička Milan</v>
      </c>
      <c r="M12" s="4">
        <v>0</v>
      </c>
      <c r="N12" s="39">
        <f t="shared" si="4"/>
        <v>2</v>
      </c>
      <c r="O12" s="73">
        <f t="shared" si="5"/>
        <v>6</v>
      </c>
      <c r="P12" s="58"/>
      <c r="Q12" s="57" t="str">
        <f>IF(ISNA(MATCH(CONCATENATE(Q$2,$A12),'Výsledková listina'!$R:$R,0)),"",INDEX('Výsledková listina'!$B:$B,MATCH(CONCATENATE(Q$2,$A12),'Výsledková listina'!$R:$R,0),1))</f>
        <v>Hrabal Vladimír</v>
      </c>
      <c r="R12" s="4">
        <v>0</v>
      </c>
      <c r="S12" s="39">
        <f t="shared" si="6"/>
        <v>4</v>
      </c>
      <c r="T12" s="73">
        <f t="shared" si="7"/>
        <v>7</v>
      </c>
      <c r="U12" s="58"/>
      <c r="V12" s="57" t="str">
        <f>IF(ISNA(MATCH(CONCATENATE(V$2,$A12),'Výsledková listina'!$R:$R,0)),"",INDEX('Výsledková listina'!$B:$B,MATCH(CONCATENATE(V$2,$A12),'Výsledková listina'!$R:$R,0),1))</f>
        <v>Krýsl Pavel</v>
      </c>
      <c r="W12" s="4">
        <v>40</v>
      </c>
      <c r="X12" s="39">
        <f t="shared" si="8"/>
        <v>5</v>
      </c>
      <c r="Y12" s="73">
        <f t="shared" si="9"/>
        <v>5</v>
      </c>
      <c r="Z12" s="58"/>
      <c r="AA12" s="57" t="str">
        <f>IF(ISNA(MATCH(CONCATENATE(AA$2,$A12),'Výsledková listina'!$R:$R,0)),"",INDEX('Výsledková listina'!$B:$B,MATCH(CONCATENATE(AA$2,$A12),'Výsledková listina'!$R:$R,0),1))</f>
        <v>Hanousek Václav</v>
      </c>
      <c r="AB12" s="4">
        <v>600</v>
      </c>
      <c r="AC12" s="39">
        <f t="shared" si="10"/>
        <v>4</v>
      </c>
      <c r="AD12" s="73">
        <f t="shared" si="11"/>
        <v>4</v>
      </c>
      <c r="AE12" s="58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</row>
    <row r="13" spans="1:94" s="8" customFormat="1" ht="34.5" customHeight="1">
      <c r="A13" s="5">
        <v>10</v>
      </c>
      <c r="B13" s="57" t="str">
        <f>IF(ISNA(MATCH(CONCATENATE(B$2,$A13),'Výsledková listina'!$R:$R,0)),"",INDEX('Výsledková listina'!$B:$B,MATCH(CONCATENATE(B$2,$A13),'Výsledková listina'!$R:$R,0),1))</f>
        <v>Dušánek Bohuslav</v>
      </c>
      <c r="C13" s="4">
        <v>0</v>
      </c>
      <c r="D13" s="39">
        <f t="shared" si="0"/>
        <v>6</v>
      </c>
      <c r="E13" s="73">
        <f t="shared" si="1"/>
        <v>8</v>
      </c>
      <c r="F13" s="58"/>
      <c r="G13" s="57" t="str">
        <f>IF(ISNA(MATCH(CONCATENATE(G$2,$A13),'Výsledková listina'!$R:$R,0)),"",INDEX('Výsledková listina'!$B:$B,MATCH(CONCATENATE(G$2,$A13),'Výsledková listina'!$R:$R,0),1))</f>
        <v>Peřina Josef</v>
      </c>
      <c r="H13" s="4">
        <v>0</v>
      </c>
      <c r="I13" s="39">
        <f t="shared" si="2"/>
        <v>1</v>
      </c>
      <c r="J13" s="73">
        <f t="shared" si="3"/>
        <v>5.5</v>
      </c>
      <c r="K13" s="58"/>
      <c r="L13" s="57" t="str">
        <f>IF(ISNA(MATCH(CONCATENATE(L$2,$A13),'Výsledková listina'!$R:$R,0)),"",INDEX('Výsledková listina'!$B:$B,MATCH(CONCATENATE(L$2,$A13),'Výsledková listina'!$R:$R,0),1))</f>
        <v>Tůma David</v>
      </c>
      <c r="M13" s="4">
        <v>0</v>
      </c>
      <c r="N13" s="39">
        <f t="shared" si="4"/>
        <v>2</v>
      </c>
      <c r="O13" s="73">
        <f t="shared" si="5"/>
        <v>6</v>
      </c>
      <c r="P13" s="58"/>
      <c r="Q13" s="57" t="str">
        <f>IF(ISNA(MATCH(CONCATENATE(Q$2,$A13),'Výsledková listina'!$R:$R,0)),"",INDEX('Výsledková listina'!$B:$B,MATCH(CONCATENATE(Q$2,$A13),'Výsledková listina'!$R:$R,0),1))</f>
        <v>Janiš Jiří</v>
      </c>
      <c r="R13" s="4">
        <v>0</v>
      </c>
      <c r="S13" s="39">
        <f t="shared" si="6"/>
        <v>4</v>
      </c>
      <c r="T13" s="73">
        <f t="shared" si="7"/>
        <v>7</v>
      </c>
      <c r="U13" s="58"/>
      <c r="V13" s="57" t="str">
        <f>IF(ISNA(MATCH(CONCATENATE(V$2,$A13),'Výsledková listina'!$R:$R,0)),"",INDEX('Výsledková listina'!$B:$B,MATCH(CONCATENATE(V$2,$A13),'Výsledková listina'!$R:$R,0),1))</f>
        <v>Vávra Jiří</v>
      </c>
      <c r="W13" s="4">
        <v>200</v>
      </c>
      <c r="X13" s="39">
        <f t="shared" si="8"/>
        <v>2</v>
      </c>
      <c r="Y13" s="73">
        <f t="shared" si="9"/>
        <v>2</v>
      </c>
      <c r="Z13" s="58"/>
      <c r="AA13" s="57" t="str">
        <f>IF(ISNA(MATCH(CONCATENATE(AA$2,$A13),'Výsledková listina'!$R:$R,0)),"",INDEX('Výsledková listina'!$B:$B,MATCH(CONCATENATE(AA$2,$A13),'Výsledková listina'!$R:$R,0),1))</f>
        <v>Ouředniček Jan</v>
      </c>
      <c r="AB13" s="4">
        <v>880</v>
      </c>
      <c r="AC13" s="39">
        <f t="shared" si="10"/>
        <v>3</v>
      </c>
      <c r="AD13" s="73">
        <f t="shared" si="11"/>
        <v>3</v>
      </c>
      <c r="AE13" s="58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</row>
  </sheetData>
  <sheetProtection/>
  <mergeCells count="13">
    <mergeCell ref="Q1:U1"/>
    <mergeCell ref="L2:P2"/>
    <mergeCell ref="Q2:U2"/>
    <mergeCell ref="A1:A3"/>
    <mergeCell ref="B1:F1"/>
    <mergeCell ref="G1:K1"/>
    <mergeCell ref="B2:F2"/>
    <mergeCell ref="G2:K2"/>
    <mergeCell ref="AA1:AE1"/>
    <mergeCell ref="AA2:AE2"/>
    <mergeCell ref="V1:Z1"/>
    <mergeCell ref="V2:Z2"/>
    <mergeCell ref="L1:P1"/>
  </mergeCells>
  <printOptions horizontalCentered="1"/>
  <pageMargins left="0.1968503937007874" right="0.1968503937007874" top="0.6299212598425197" bottom="0.3937007874015748" header="0.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6" manualBreakCount="6">
    <brk id="6" max="65535" man="1"/>
    <brk id="11" max="65535" man="1"/>
    <brk id="16" max="65535" man="1"/>
    <brk id="21" max="65535" man="1"/>
    <brk id="26" max="12" man="1"/>
    <brk id="31" max="1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zoomScalePageLayoutView="0" workbookViewId="0" topLeftCell="A1">
      <selection activeCell="A1" sqref="A1:P1"/>
    </sheetView>
  </sheetViews>
  <sheetFormatPr defaultColWidth="9.00390625" defaultRowHeight="12.75" outlineLevelCol="1"/>
  <cols>
    <col min="1" max="1" width="28.375" style="108" customWidth="1"/>
    <col min="2" max="2" width="6.625" style="0" customWidth="1"/>
    <col min="3" max="3" width="23.125" style="0" customWidth="1"/>
    <col min="4" max="4" width="7.25390625" style="0" customWidth="1"/>
    <col min="5" max="5" width="4.375" style="0" bestFit="1" customWidth="1"/>
    <col min="6" max="6" width="7.00390625" style="0" customWidth="1"/>
    <col min="7" max="7" width="5.625" style="0" bestFit="1" customWidth="1"/>
    <col min="8" max="8" width="7.375" style="0" bestFit="1" customWidth="1"/>
    <col min="9" max="9" width="7.625" style="0" customWidth="1" outlineLevel="1"/>
    <col min="10" max="10" width="4.375" style="0" customWidth="1" outlineLevel="1"/>
    <col min="11" max="11" width="7.375" style="0" customWidth="1" outlineLevel="1"/>
    <col min="12" max="12" width="5.625" style="0" customWidth="1" outlineLevel="1"/>
    <col min="13" max="13" width="5.125" style="0" customWidth="1" outlineLevel="1"/>
    <col min="14" max="14" width="8.625" style="0" customWidth="1" outlineLevel="1"/>
    <col min="15" max="15" width="5.625" style="0" customWidth="1" outlineLevel="1"/>
    <col min="16" max="16" width="5.125" style="0" customWidth="1" outlineLevel="1"/>
  </cols>
  <sheetData>
    <row r="1" spans="1:16" ht="21" thickBot="1">
      <c r="A1" s="241" t="s">
        <v>56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6" ht="7.5" customHeight="1" thickBot="1">
      <c r="A2" s="107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12.75">
      <c r="A3" s="242" t="s">
        <v>55</v>
      </c>
      <c r="B3" s="247" t="s">
        <v>63</v>
      </c>
      <c r="C3" s="249" t="s">
        <v>37</v>
      </c>
      <c r="D3" s="178" t="s">
        <v>39</v>
      </c>
      <c r="E3" s="179"/>
      <c r="F3" s="179"/>
      <c r="G3" s="179"/>
      <c r="H3" s="185"/>
      <c r="I3" s="178" t="s">
        <v>40</v>
      </c>
      <c r="J3" s="179"/>
      <c r="K3" s="179"/>
      <c r="L3" s="179"/>
      <c r="M3" s="185"/>
      <c r="N3" s="202" t="s">
        <v>54</v>
      </c>
      <c r="O3" s="202"/>
      <c r="P3" s="180"/>
    </row>
    <row r="4" spans="1:16" ht="12.75">
      <c r="A4" s="243"/>
      <c r="B4" s="248"/>
      <c r="C4" s="250"/>
      <c r="D4" s="189" t="s">
        <v>53</v>
      </c>
      <c r="E4" s="190"/>
      <c r="F4" s="244" t="s">
        <v>54</v>
      </c>
      <c r="G4" s="245"/>
      <c r="H4" s="246"/>
      <c r="I4" s="189" t="s">
        <v>53</v>
      </c>
      <c r="J4" s="190"/>
      <c r="K4" s="244" t="s">
        <v>54</v>
      </c>
      <c r="L4" s="245"/>
      <c r="M4" s="246"/>
      <c r="N4" s="204"/>
      <c r="O4" s="204"/>
      <c r="P4" s="205"/>
    </row>
    <row r="5" spans="1:16" ht="16.5" thickBot="1">
      <c r="A5" s="243"/>
      <c r="B5" s="248"/>
      <c r="C5" s="250"/>
      <c r="D5" s="80" t="s">
        <v>4</v>
      </c>
      <c r="E5" s="77" t="s">
        <v>16</v>
      </c>
      <c r="F5" s="77" t="s">
        <v>4</v>
      </c>
      <c r="G5" s="77" t="s">
        <v>6</v>
      </c>
      <c r="H5" s="78" t="s">
        <v>5</v>
      </c>
      <c r="I5" s="80" t="s">
        <v>4</v>
      </c>
      <c r="J5" s="77" t="s">
        <v>16</v>
      </c>
      <c r="K5" s="77" t="s">
        <v>4</v>
      </c>
      <c r="L5" s="77" t="s">
        <v>6</v>
      </c>
      <c r="M5" s="78" t="s">
        <v>5</v>
      </c>
      <c r="N5" s="79" t="s">
        <v>4</v>
      </c>
      <c r="O5" s="77" t="s">
        <v>6</v>
      </c>
      <c r="P5" s="78" t="s">
        <v>5</v>
      </c>
    </row>
    <row r="6" spans="1:16" s="135" customFormat="1" ht="12.75" customHeight="1">
      <c r="A6" s="227" t="s">
        <v>77</v>
      </c>
      <c r="B6" s="131">
        <v>1126</v>
      </c>
      <c r="C6" s="132" t="str">
        <f>IF(ISBLANK($B6),"",INDEX('Výsledková listina'!PRINT_AREA,MATCH($B6,'Výsledková listina'!$E:$E,0),2))</f>
        <v>Ouředniček Jiří</v>
      </c>
      <c r="D6" s="133">
        <f>IF(ISBLANK($B6),"",INDEX('Výsledková listina'!PRINT_AREA,MATCH($B6,'Výsledková listina'!$E:$E,0),8))</f>
        <v>0</v>
      </c>
      <c r="E6" s="134">
        <f>IF(ISBLANK($B6),"",INDEX('Výsledková listina'!PRINT_AREA,MATCH($B6,'Výsledková listina'!$E:$E,0),9))</f>
        <v>7</v>
      </c>
      <c r="F6" s="230">
        <f>IF(ISBLANK($A6),"",SUM(D6:D8))</f>
        <v>140</v>
      </c>
      <c r="G6" s="230">
        <f>IF(ISBLANK($A6),"",SUM(E6:E8))</f>
        <v>17.5</v>
      </c>
      <c r="H6" s="233">
        <f>IF(ISBLANK($A6),"",RANK(G6,G:G,1))</f>
        <v>11</v>
      </c>
      <c r="I6" s="133">
        <f>IF(ISBLANK($B6),"",INDEX('Výsledková listina'!PRINT_AREA,MATCH($B6,'Výsledková listina'!$E:$E,0),12))</f>
        <v>60</v>
      </c>
      <c r="J6" s="134">
        <f>IF(ISBLANK($B6),"",INDEX('Výsledková listina'!PRINT_AREA,MATCH($B6,'Výsledková listina'!$E:$E,0),13))</f>
        <v>5</v>
      </c>
      <c r="K6" s="230">
        <f>IF(ISBLANK($A6),"",SUM(I6:I8))</f>
        <v>940</v>
      </c>
      <c r="L6" s="230">
        <f>IF(ISBLANK($A6),"",SUM(J6:J8))</f>
        <v>14</v>
      </c>
      <c r="M6" s="221">
        <f>IF(ISBLANK($A6),"",RANK(L6,L:L,1))</f>
        <v>6</v>
      </c>
      <c r="N6" s="224">
        <f>IF(ISBLANK($A6),"",SUM(F6,K6))</f>
        <v>1080</v>
      </c>
      <c r="O6" s="218">
        <f>IF(ISBLANK($A6),"",SUM(G6,L6))</f>
        <v>31.5</v>
      </c>
      <c r="P6" s="221">
        <v>10</v>
      </c>
    </row>
    <row r="7" spans="1:16" s="135" customFormat="1" ht="12.75" customHeight="1">
      <c r="A7" s="228"/>
      <c r="B7" s="136">
        <v>1125</v>
      </c>
      <c r="C7" s="137" t="str">
        <f>IF(ISBLANK($B7),"",INDEX('Výsledková listina'!PRINT_AREA,MATCH($B7,'Výsledková listina'!$E:$E,0),2))</f>
        <v>Ouředniček Jan</v>
      </c>
      <c r="D7" s="138">
        <f>IF(ISBLANK($B7),"",INDEX('Výsledková listina'!PRINT_AREA,MATCH($B7,'Výsledková listina'!$E:$E,0),8))</f>
        <v>140</v>
      </c>
      <c r="E7" s="139">
        <f>IF(ISBLANK($B7),"",INDEX('Výsledková listina'!PRINT_AREA,MATCH($B7,'Výsledková listina'!$E:$E,0),9))</f>
        <v>3</v>
      </c>
      <c r="F7" s="231"/>
      <c r="G7" s="231"/>
      <c r="H7" s="222"/>
      <c r="I7" s="138">
        <f>IF(ISBLANK($B7),"",INDEX('Výsledková listina'!PRINT_AREA,MATCH($B7,'Výsledková listina'!$E:$E,0),12))</f>
        <v>880</v>
      </c>
      <c r="J7" s="139">
        <f>IF(ISBLANK($B7),"",INDEX('Výsledková listina'!PRINT_AREA,MATCH($B7,'Výsledková listina'!$E:$E,0),13))</f>
        <v>3</v>
      </c>
      <c r="K7" s="231"/>
      <c r="L7" s="231"/>
      <c r="M7" s="222"/>
      <c r="N7" s="225"/>
      <c r="O7" s="219"/>
      <c r="P7" s="222"/>
    </row>
    <row r="8" spans="1:16" s="135" customFormat="1" ht="13.5" customHeight="1" thickBot="1">
      <c r="A8" s="229"/>
      <c r="B8" s="140">
        <v>2268</v>
      </c>
      <c r="C8" s="141" t="str">
        <f>IF(ISBLANK($B8),"",INDEX('Výsledková listina'!PRINT_AREA,MATCH($B8,'Výsledková listina'!$E:$E,0),2))</f>
        <v>Stejskal Miroslav</v>
      </c>
      <c r="D8" s="142">
        <f>IF(ISBLANK($B8),"",INDEX('Výsledková listina'!PRINT_AREA,MATCH($B8,'Výsledková listina'!$E:$E,0),8))</f>
        <v>0</v>
      </c>
      <c r="E8" s="143">
        <f>IF(ISBLANK($B8),"",INDEX('Výsledková listina'!PRINT_AREA,MATCH($B8,'Výsledková listina'!$E:$E,0),9))</f>
        <v>7.5</v>
      </c>
      <c r="F8" s="232"/>
      <c r="G8" s="232"/>
      <c r="H8" s="234"/>
      <c r="I8" s="142">
        <f>IF(ISBLANK($B8),"",INDEX('Výsledková listina'!PRINT_AREA,MATCH($B8,'Výsledková listina'!$E:$E,0),12))</f>
        <v>0</v>
      </c>
      <c r="J8" s="143">
        <f>IF(ISBLANK($B8),"",INDEX('Výsledková listina'!PRINT_AREA,MATCH($B8,'Výsledková listina'!$E:$E,0),13))</f>
        <v>6</v>
      </c>
      <c r="K8" s="232"/>
      <c r="L8" s="232"/>
      <c r="M8" s="223"/>
      <c r="N8" s="226"/>
      <c r="O8" s="220"/>
      <c r="P8" s="223"/>
    </row>
    <row r="9" spans="1:16" s="135" customFormat="1" ht="12.75" customHeight="1">
      <c r="A9" s="227" t="s">
        <v>82</v>
      </c>
      <c r="B9" s="144">
        <v>2305</v>
      </c>
      <c r="C9" s="132" t="str">
        <f>IF(ISBLANK($B9),"",INDEX('Výsledková listina'!PRINT_AREA,MATCH($B9,'Výsledková listina'!$E:$E,0),2))</f>
        <v>Bořuta Pavel</v>
      </c>
      <c r="D9" s="133">
        <f>IF(ISBLANK($B9),"",INDEX('Výsledková listina'!PRINT_AREA,MATCH($B9,'Výsledková listina'!$E:$E,0),8))</f>
        <v>1800</v>
      </c>
      <c r="E9" s="134">
        <f>IF(ISBLANK($B9),"",INDEX('Výsledková listina'!PRINT_AREA,MATCH($B9,'Výsledková listina'!$E:$E,0),9))</f>
        <v>1</v>
      </c>
      <c r="F9" s="230">
        <f>IF(ISBLANK($A9),"",SUM(D9:D11))</f>
        <v>2580</v>
      </c>
      <c r="G9" s="230">
        <f>IF(ISBLANK($A9),"",SUM(E9:E11))</f>
        <v>11</v>
      </c>
      <c r="H9" s="233">
        <f>IF(ISBLANK($A9),"",RANK(G9,G:G,1))</f>
        <v>3</v>
      </c>
      <c r="I9" s="133">
        <f>IF(ISBLANK($B9),"",INDEX('Výsledková listina'!PRINT_AREA,MATCH($B9,'Výsledková listina'!$E:$E,0),12))</f>
        <v>0</v>
      </c>
      <c r="J9" s="134">
        <f>IF(ISBLANK($B9),"",INDEX('Výsledková listina'!PRINT_AREA,MATCH($B9,'Výsledková listina'!$E:$E,0),13))</f>
        <v>8</v>
      </c>
      <c r="K9" s="230">
        <f>IF(ISBLANK($A9),"",SUM(I9:I11))</f>
        <v>0</v>
      </c>
      <c r="L9" s="230">
        <f>IF(ISBLANK($A9),"",SUM(J9:J11))</f>
        <v>23</v>
      </c>
      <c r="M9" s="221">
        <f>IF(ISBLANK($A9),"",RANK(L9,L:L,1))</f>
        <v>18</v>
      </c>
      <c r="N9" s="224">
        <f>IF(ISBLANK($A9),"",SUM(F9,K9))</f>
        <v>2580</v>
      </c>
      <c r="O9" s="218">
        <f>IF(ISBLANK($A9),"",SUM(G9,L9))</f>
        <v>34</v>
      </c>
      <c r="P9" s="221">
        <f>IF(N9="","",RANK(O9,O:O,1))</f>
        <v>13</v>
      </c>
    </row>
    <row r="10" spans="1:16" s="135" customFormat="1" ht="12.75" customHeight="1">
      <c r="A10" s="228"/>
      <c r="B10" s="145">
        <v>2304</v>
      </c>
      <c r="C10" s="137" t="str">
        <f>IF(ISBLANK($B10),"",INDEX('Výsledková listina'!PRINT_AREA,MATCH($B10,'Výsledková listina'!$E:$E,0),2))</f>
        <v>Hrabal Vladimír</v>
      </c>
      <c r="D10" s="138">
        <f>IF(ISBLANK($B10),"",INDEX('Výsledková listina'!PRINT_AREA,MATCH($B10,'Výsledková listina'!$E:$E,0),8))</f>
        <v>0</v>
      </c>
      <c r="E10" s="139">
        <f>IF(ISBLANK($B10),"",INDEX('Výsledková listina'!PRINT_AREA,MATCH($B10,'Výsledková listina'!$E:$E,0),9))</f>
        <v>7</v>
      </c>
      <c r="F10" s="231"/>
      <c r="G10" s="231"/>
      <c r="H10" s="222"/>
      <c r="I10" s="138">
        <f>IF(ISBLANK($B10),"",INDEX('Výsledková listina'!PRINT_AREA,MATCH($B10,'Výsledková listina'!$E:$E,0),12))</f>
        <v>0</v>
      </c>
      <c r="J10" s="139">
        <f>IF(ISBLANK($B10),"",INDEX('Výsledková listina'!PRINT_AREA,MATCH($B10,'Výsledková listina'!$E:$E,0),13))</f>
        <v>7</v>
      </c>
      <c r="K10" s="231"/>
      <c r="L10" s="231"/>
      <c r="M10" s="222"/>
      <c r="N10" s="225"/>
      <c r="O10" s="219"/>
      <c r="P10" s="222"/>
    </row>
    <row r="11" spans="1:16" s="135" customFormat="1" ht="13.5" customHeight="1" thickBot="1">
      <c r="A11" s="229"/>
      <c r="B11" s="146">
        <v>2315</v>
      </c>
      <c r="C11" s="141" t="s">
        <v>174</v>
      </c>
      <c r="D11" s="142">
        <f>IF(ISBLANK($B11),"",INDEX('Výsledková listina'!PRINT_AREA,MATCH($B11,'Výsledková listina'!$E:$E,0),8))</f>
        <v>780</v>
      </c>
      <c r="E11" s="143">
        <f>IF(ISBLANK($B11),"",INDEX('Výsledková listina'!PRINT_AREA,MATCH($B11,'Výsledková listina'!$E:$E,0),9))</f>
        <v>3</v>
      </c>
      <c r="F11" s="232"/>
      <c r="G11" s="232"/>
      <c r="H11" s="234"/>
      <c r="I11" s="142">
        <f>IF(ISBLANK($B11),"",INDEX('Výsledková listina'!PRINT_AREA,MATCH($B11,'Výsledková listina'!$E:$E,0),12))</f>
        <v>0</v>
      </c>
      <c r="J11" s="143">
        <f>IF(ISBLANK($B11),"",INDEX('Výsledková listina'!PRINT_AREA,MATCH($B11,'Výsledková listina'!$E:$E,0),13))</f>
        <v>8</v>
      </c>
      <c r="K11" s="232"/>
      <c r="L11" s="232"/>
      <c r="M11" s="223"/>
      <c r="N11" s="226"/>
      <c r="O11" s="220"/>
      <c r="P11" s="223"/>
    </row>
    <row r="12" spans="1:16" s="135" customFormat="1" ht="12.75" customHeight="1">
      <c r="A12" s="235" t="s">
        <v>178</v>
      </c>
      <c r="B12" s="144">
        <v>1730</v>
      </c>
      <c r="C12" s="132" t="str">
        <f>IF(ISBLANK($B12),"",INDEX('Výsledková listina'!PRINT_AREA,MATCH($B12,'Výsledková listina'!$E:$E,0),2))</f>
        <v>Vitásek Jiří</v>
      </c>
      <c r="D12" s="133">
        <f>IF(ISBLANK($B12),"",INDEX('Výsledková listina'!PRINT_AREA,MATCH($B12,'Výsledková listina'!$E:$E,0),8))</f>
        <v>1580</v>
      </c>
      <c r="E12" s="134">
        <f>IF(ISBLANK($B12),"",INDEX('Výsledková listina'!PRINT_AREA,MATCH($B12,'Výsledková listina'!$E:$E,0),9))</f>
        <v>3</v>
      </c>
      <c r="F12" s="230">
        <f>IF(ISBLANK($A12),"",SUM(D12:D14))</f>
        <v>3300</v>
      </c>
      <c r="G12" s="230">
        <f>IF(ISBLANK($A12),"",SUM(E12:E14))</f>
        <v>12.5</v>
      </c>
      <c r="H12" s="233">
        <f>IF(ISBLANK($A12),"",RANK(G12,G:G,1))</f>
        <v>6</v>
      </c>
      <c r="I12" s="133">
        <f>IF(ISBLANK($B12),"",INDEX('Výsledková listina'!PRINT_AREA,MATCH($B12,'Výsledková listina'!$E:$E,0),12))</f>
        <v>40</v>
      </c>
      <c r="J12" s="134">
        <f>IF(ISBLANK($B12),"",INDEX('Výsledková listina'!PRINT_AREA,MATCH($B12,'Výsledková listina'!$E:$E,0),13))</f>
        <v>3</v>
      </c>
      <c r="K12" s="230">
        <f>IF(ISBLANK($A12),"",SUM(I12:I14))</f>
        <v>640</v>
      </c>
      <c r="L12" s="230">
        <f>IF(ISBLANK($A12),"",SUM(J12:J14))</f>
        <v>12.5</v>
      </c>
      <c r="M12" s="221">
        <f>IF(ISBLANK($A12),"",RANK(L12,L:L,1))</f>
        <v>4</v>
      </c>
      <c r="N12" s="224">
        <f>IF(ISBLANK($A12),"",SUM(F12,K12))</f>
        <v>3940</v>
      </c>
      <c r="O12" s="218">
        <f>IF(ISBLANK($A12),"",SUM(G12,L12))</f>
        <v>25</v>
      </c>
      <c r="P12" s="221">
        <f>IF(N12="","",RANK(O12,O:O,1))</f>
        <v>2</v>
      </c>
    </row>
    <row r="13" spans="1:16" s="135" customFormat="1" ht="12.75" customHeight="1">
      <c r="A13" s="236"/>
      <c r="B13" s="145">
        <v>2818</v>
      </c>
      <c r="C13" s="137" t="str">
        <f>IF(ISBLANK($B13),"",INDEX('Výsledková listina'!PRINT_AREA,MATCH($B13,'Výsledková listina'!$E:$E,0),2))</f>
        <v>Hanousek Václav</v>
      </c>
      <c r="D13" s="138">
        <f>IF(ISBLANK($B13),"",INDEX('Výsledková listina'!PRINT_AREA,MATCH($B13,'Výsledková listina'!$E:$E,0),8))</f>
        <v>1720</v>
      </c>
      <c r="E13" s="139">
        <f>IF(ISBLANK($B13),"",INDEX('Výsledková listina'!PRINT_AREA,MATCH($B13,'Výsledková listina'!$E:$E,0),9))</f>
        <v>2</v>
      </c>
      <c r="F13" s="231"/>
      <c r="G13" s="231"/>
      <c r="H13" s="222"/>
      <c r="I13" s="138">
        <f>IF(ISBLANK($B13),"",INDEX('Výsledková listina'!PRINT_AREA,MATCH($B13,'Výsledková listina'!$E:$E,0),12))</f>
        <v>600</v>
      </c>
      <c r="J13" s="139">
        <f>IF(ISBLANK($B13),"",INDEX('Výsledková listina'!PRINT_AREA,MATCH($B13,'Výsledková listina'!$E:$E,0),13))</f>
        <v>4</v>
      </c>
      <c r="K13" s="231"/>
      <c r="L13" s="231"/>
      <c r="M13" s="222"/>
      <c r="N13" s="225"/>
      <c r="O13" s="219"/>
      <c r="P13" s="222"/>
    </row>
    <row r="14" spans="1:16" s="135" customFormat="1" ht="13.5" customHeight="1" thickBot="1">
      <c r="A14" s="237"/>
      <c r="B14" s="146">
        <v>2317</v>
      </c>
      <c r="C14" s="141" t="str">
        <f>IF(ISBLANK($B14),"",INDEX('Výsledková listina'!PRINT_AREA,MATCH($B14,'Výsledková listina'!$E:$E,0),2))</f>
        <v>Peřina Josef</v>
      </c>
      <c r="D14" s="142">
        <f>IF(ISBLANK($B14),"",INDEX('Výsledková listina'!PRINT_AREA,MATCH($B14,'Výsledková listina'!$E:$E,0),8))</f>
        <v>0</v>
      </c>
      <c r="E14" s="143">
        <f>IF(ISBLANK($B14),"",INDEX('Výsledková listina'!PRINT_AREA,MATCH($B14,'Výsledková listina'!$E:$E,0),9))</f>
        <v>7.5</v>
      </c>
      <c r="F14" s="232"/>
      <c r="G14" s="232"/>
      <c r="H14" s="234"/>
      <c r="I14" s="142">
        <f>IF(ISBLANK($B14),"",INDEX('Výsledková listina'!PRINT_AREA,MATCH($B14,'Výsledková listina'!$E:$E,0),12))</f>
        <v>0</v>
      </c>
      <c r="J14" s="143">
        <f>IF(ISBLANK($B14),"",INDEX('Výsledková listina'!PRINT_AREA,MATCH($B14,'Výsledková listina'!$E:$E,0),13))</f>
        <v>5.5</v>
      </c>
      <c r="K14" s="232"/>
      <c r="L14" s="232"/>
      <c r="M14" s="223"/>
      <c r="N14" s="226"/>
      <c r="O14" s="220"/>
      <c r="P14" s="223"/>
    </row>
    <row r="15" spans="1:16" s="135" customFormat="1" ht="12.75" customHeight="1">
      <c r="A15" s="227" t="s">
        <v>88</v>
      </c>
      <c r="B15" s="144">
        <v>1982</v>
      </c>
      <c r="C15" s="132" t="str">
        <f>IF(ISBLANK($B15),"",INDEX('Výsledková listina'!PRINT_AREA,MATCH($B15,'Výsledková listina'!$E:$E,0),2))</f>
        <v>Hahn Petr</v>
      </c>
      <c r="D15" s="133">
        <f>IF(ISBLANK($B15),"",INDEX('Výsledková listina'!PRINT_AREA,MATCH($B15,'Výsledková listina'!$E:$E,0),8))</f>
        <v>1440</v>
      </c>
      <c r="E15" s="134">
        <f>IF(ISBLANK($B15),"",INDEX('Výsledková listina'!PRINT_AREA,MATCH($B15,'Výsledková listina'!$E:$E,0),9))</f>
        <v>2</v>
      </c>
      <c r="F15" s="230">
        <f>IF(ISBLANK($A15),"",SUM(D15:D17))</f>
        <v>2420</v>
      </c>
      <c r="G15" s="230">
        <f>IF(ISBLANK($A15),"",SUM(E15:E17))</f>
        <v>4</v>
      </c>
      <c r="H15" s="233">
        <f>IF(ISBLANK($A15),"",RANK(G15,G:G,1))</f>
        <v>1</v>
      </c>
      <c r="I15" s="133">
        <f>IF(ISBLANK($B15),"",INDEX('Výsledková listina'!PRINT_AREA,MATCH($B15,'Výsledková listina'!$E:$E,0),12))</f>
        <v>0</v>
      </c>
      <c r="J15" s="134">
        <f>IF(ISBLANK($B15),"",INDEX('Výsledková listina'!PRINT_AREA,MATCH($B15,'Výsledková listina'!$E:$E,0),13))</f>
        <v>7</v>
      </c>
      <c r="K15" s="230">
        <f>IF(ISBLANK($A15),"",SUM(I15:I17))</f>
        <v>0</v>
      </c>
      <c r="L15" s="230">
        <f>IF(ISBLANK($A15),"",SUM(J15:J17))</f>
        <v>23</v>
      </c>
      <c r="M15" s="221">
        <f>IF(ISBLANK($A15),"",RANK(L15,L:L,1))</f>
        <v>18</v>
      </c>
      <c r="N15" s="224">
        <f>IF(ISBLANK($A15),"",SUM(F15,K15))</f>
        <v>2420</v>
      </c>
      <c r="O15" s="218">
        <f>IF(ISBLANK($A15),"",SUM(G15,L15))</f>
        <v>27</v>
      </c>
      <c r="P15" s="221">
        <f>IF(N15="","",RANK(O15,O:O,1))</f>
        <v>5</v>
      </c>
    </row>
    <row r="16" spans="1:16" s="135" customFormat="1" ht="12.75" customHeight="1">
      <c r="A16" s="228"/>
      <c r="B16" s="145">
        <v>2271</v>
      </c>
      <c r="C16" s="137" t="str">
        <f>IF(ISBLANK($B16),"",INDEX('Výsledková listina'!PRINT_AREA,MATCH($B16,'Výsledková listina'!$E:$E,0),2))</f>
        <v>Smutný Jiří</v>
      </c>
      <c r="D16" s="138">
        <f>IF(ISBLANK($B16),"",INDEX('Výsledková listina'!PRINT_AREA,MATCH($B16,'Výsledková listina'!$E:$E,0),8))</f>
        <v>340</v>
      </c>
      <c r="E16" s="139">
        <f>IF(ISBLANK($B16),"",INDEX('Výsledková listina'!PRINT_AREA,MATCH($B16,'Výsledková listina'!$E:$E,0),9))</f>
        <v>1</v>
      </c>
      <c r="F16" s="231"/>
      <c r="G16" s="231"/>
      <c r="H16" s="222"/>
      <c r="I16" s="138">
        <f>IF(ISBLANK($B16),"",INDEX('Výsledková listina'!PRINT_AREA,MATCH($B16,'Výsledková listina'!$E:$E,0),12))</f>
        <v>0</v>
      </c>
      <c r="J16" s="139">
        <f>IF(ISBLANK($B16),"",INDEX('Výsledková listina'!PRINT_AREA,MATCH($B16,'Výsledková listina'!$E:$E,0),13))</f>
        <v>8</v>
      </c>
      <c r="K16" s="231"/>
      <c r="L16" s="231"/>
      <c r="M16" s="222"/>
      <c r="N16" s="225"/>
      <c r="O16" s="219"/>
      <c r="P16" s="222"/>
    </row>
    <row r="17" spans="1:16" s="135" customFormat="1" ht="13.5" customHeight="1" thickBot="1">
      <c r="A17" s="229"/>
      <c r="B17" s="146">
        <v>2506</v>
      </c>
      <c r="C17" s="141" t="str">
        <f>IF(ISBLANK($B17),"",INDEX('Výsledková listina'!PRINT_AREA,MATCH($B17,'Výsledková listina'!$E:$E,0),2))</f>
        <v>Sofron Pavel</v>
      </c>
      <c r="D17" s="142">
        <f>IF(ISBLANK($B17),"",INDEX('Výsledková listina'!PRINT_AREA,MATCH($B17,'Výsledková listina'!$E:$E,0),8))</f>
        <v>640</v>
      </c>
      <c r="E17" s="143">
        <f>IF(ISBLANK($B17),"",INDEX('Výsledková listina'!PRINT_AREA,MATCH($B17,'Výsledková listina'!$E:$E,0),9))</f>
        <v>1</v>
      </c>
      <c r="F17" s="232"/>
      <c r="G17" s="232"/>
      <c r="H17" s="234"/>
      <c r="I17" s="142">
        <f>IF(ISBLANK($B17),"",INDEX('Výsledková listina'!PRINT_AREA,MATCH($B17,'Výsledková listina'!$E:$E,0),12))</f>
        <v>0</v>
      </c>
      <c r="J17" s="143">
        <f>IF(ISBLANK($B17),"",INDEX('Výsledková listina'!PRINT_AREA,MATCH($B17,'Výsledková listina'!$E:$E,0),13))</f>
        <v>8</v>
      </c>
      <c r="K17" s="232"/>
      <c r="L17" s="232"/>
      <c r="M17" s="223"/>
      <c r="N17" s="226"/>
      <c r="O17" s="220"/>
      <c r="P17" s="223"/>
    </row>
    <row r="18" spans="1:16" s="135" customFormat="1" ht="12.75" customHeight="1">
      <c r="A18" s="227" t="s">
        <v>94</v>
      </c>
      <c r="B18" s="144">
        <v>2289</v>
      </c>
      <c r="C18" s="132" t="str">
        <f>IF(ISBLANK($B18),"",INDEX('Výsledková listina'!PRINT_AREA,MATCH($B18,'Výsledková listina'!$E:$E,0),2))</f>
        <v>Vávra Jiří</v>
      </c>
      <c r="D18" s="133">
        <f>IF(ISBLANK($B18),"",INDEX('Výsledková listina'!PRINT_AREA,MATCH($B18,'Výsledková listina'!$E:$E,0),8))</f>
        <v>300</v>
      </c>
      <c r="E18" s="134">
        <f>IF(ISBLANK($B18),"",INDEX('Výsledková listina'!PRINT_AREA,MATCH($B18,'Výsledková listina'!$E:$E,0),9))</f>
        <v>2</v>
      </c>
      <c r="F18" s="230">
        <f>IF(ISBLANK($A18),"",SUM(D18:D20))</f>
        <v>360</v>
      </c>
      <c r="G18" s="230">
        <f>IF(ISBLANK($A18),"",SUM(E18:E20))</f>
        <v>12</v>
      </c>
      <c r="H18" s="233">
        <f>IF(ISBLANK($A18),"",RANK(G18,G:G,1))</f>
        <v>5</v>
      </c>
      <c r="I18" s="133">
        <f>IF(ISBLANK($B18),"",INDEX('Výsledková listina'!PRINT_AREA,MATCH($B18,'Výsledková listina'!$E:$E,0),12))</f>
        <v>200</v>
      </c>
      <c r="J18" s="134">
        <f>IF(ISBLANK($B18),"",INDEX('Výsledková listina'!PRINT_AREA,MATCH($B18,'Výsledková listina'!$E:$E,0),13))</f>
        <v>2</v>
      </c>
      <c r="K18" s="230">
        <f>IF(ISBLANK($A18),"",SUM(I18:I20))</f>
        <v>200</v>
      </c>
      <c r="L18" s="230">
        <f>IF(ISBLANK($A18),"",SUM(J18:J20))</f>
        <v>14.5</v>
      </c>
      <c r="M18" s="221">
        <f>IF(ISBLANK($A18),"",RANK(L18,L:L,1))</f>
        <v>7</v>
      </c>
      <c r="N18" s="224">
        <f>IF(ISBLANK($A18),"",SUM(F18,K18))</f>
        <v>560</v>
      </c>
      <c r="O18" s="218">
        <f>IF(ISBLANK($A18),"",SUM(G18,L18))</f>
        <v>26.5</v>
      </c>
      <c r="P18" s="221">
        <f>IF(N18="","",RANK(O18,O:O,1))</f>
        <v>4</v>
      </c>
    </row>
    <row r="19" spans="1:16" s="135" customFormat="1" ht="12.75" customHeight="1">
      <c r="A19" s="228"/>
      <c r="B19" s="145">
        <v>2290</v>
      </c>
      <c r="C19" s="137" t="str">
        <f>IF(ISBLANK($B19),"",INDEX('Výsledková listina'!PRINT_AREA,MATCH($B19,'Výsledková listina'!$E:$E,0),2))</f>
        <v>Dorotík Tomáš</v>
      </c>
      <c r="D19" s="138">
        <f>IF(ISBLANK($B19),"",INDEX('Výsledková listina'!PRINT_AREA,MATCH($B19,'Výsledková listina'!$E:$E,0),8))</f>
        <v>0</v>
      </c>
      <c r="E19" s="139">
        <f>IF(ISBLANK($B19),"",INDEX('Výsledková listina'!PRINT_AREA,MATCH($B19,'Výsledková listina'!$E:$E,0),9))</f>
        <v>7</v>
      </c>
      <c r="F19" s="231"/>
      <c r="G19" s="231"/>
      <c r="H19" s="222"/>
      <c r="I19" s="138">
        <f>IF(ISBLANK($B19),"",INDEX('Výsledková listina'!PRINT_AREA,MATCH($B19,'Výsledková listina'!$E:$E,0),12))</f>
        <v>0</v>
      </c>
      <c r="J19" s="139">
        <f>IF(ISBLANK($B19),"",INDEX('Výsledková listina'!PRINT_AREA,MATCH($B19,'Výsledková listina'!$E:$E,0),13))</f>
        <v>5.5</v>
      </c>
      <c r="K19" s="231"/>
      <c r="L19" s="231"/>
      <c r="M19" s="222"/>
      <c r="N19" s="225"/>
      <c r="O19" s="219"/>
      <c r="P19" s="222"/>
    </row>
    <row r="20" spans="1:16" s="135" customFormat="1" ht="13.5" customHeight="1" thickBot="1">
      <c r="A20" s="229"/>
      <c r="B20" s="136">
        <v>2750</v>
      </c>
      <c r="C20" s="147" t="str">
        <f>IF(ISBLANK($B20),"",INDEX('Výsledková listina'!PRINT_AREA,MATCH($B20,'Výsledková listina'!$E:$E,0),2))</f>
        <v>Janiš Jiří</v>
      </c>
      <c r="D20" s="148">
        <f>IF(ISBLANK($B20),"",INDEX('Výsledková listina'!PRINT_AREA,MATCH($B20,'Výsledková listina'!$E:$E,0),8))</f>
        <v>60</v>
      </c>
      <c r="E20" s="149">
        <f>IF(ISBLANK($B20),"",INDEX('Výsledková listina'!PRINT_AREA,MATCH($B20,'Výsledková listina'!$E:$E,0),9))</f>
        <v>3</v>
      </c>
      <c r="F20" s="232"/>
      <c r="G20" s="232"/>
      <c r="H20" s="234"/>
      <c r="I20" s="148">
        <f>IF(ISBLANK($B20),"",INDEX('Výsledková listina'!PRINT_AREA,MATCH($B20,'Výsledková listina'!$E:$E,0),12))</f>
        <v>0</v>
      </c>
      <c r="J20" s="149">
        <f>IF(ISBLANK($B20),"",INDEX('Výsledková listina'!PRINT_AREA,MATCH($B20,'Výsledková listina'!$E:$E,0),13))</f>
        <v>7</v>
      </c>
      <c r="K20" s="232"/>
      <c r="L20" s="232"/>
      <c r="M20" s="223"/>
      <c r="N20" s="226"/>
      <c r="O20" s="220"/>
      <c r="P20" s="223"/>
    </row>
    <row r="21" spans="1:16" s="135" customFormat="1" ht="12.75" customHeight="1">
      <c r="A21" s="227" t="s">
        <v>104</v>
      </c>
      <c r="B21" s="144">
        <v>82</v>
      </c>
      <c r="C21" s="132" t="str">
        <f>IF(ISBLANK($B21),"",INDEX('Výsledková listina'!PRINT_AREA,MATCH($B21,'Výsledková listina'!$E:$E,0),2))</f>
        <v>Juřík Milan</v>
      </c>
      <c r="D21" s="133">
        <f>IF(ISBLANK($B21),"",INDEX('Výsledková listina'!PRINT_AREA,MATCH($B21,'Výsledková listina'!$E:$E,0),8))</f>
        <v>0</v>
      </c>
      <c r="E21" s="134">
        <f>IF(ISBLANK($B21),"",INDEX('Výsledková listina'!PRINT_AREA,MATCH($B21,'Výsledková listina'!$E:$E,0),9))</f>
        <v>7.5</v>
      </c>
      <c r="F21" s="230">
        <f>IF(ISBLANK($A21),"",SUM(D21:D23))</f>
        <v>0</v>
      </c>
      <c r="G21" s="230">
        <f>IF(ISBLANK($A21),"",SUM(E21:E23))</f>
        <v>22</v>
      </c>
      <c r="H21" s="233">
        <f>IF(ISBLANK($A21),"",RANK(G21,G:G,1))</f>
        <v>16</v>
      </c>
      <c r="I21" s="133">
        <f>IF(ISBLANK($B21),"",INDEX('Výsledková listina'!PRINT_AREA,MATCH($B21,'Výsledková listina'!$E:$E,0),12))</f>
        <v>0</v>
      </c>
      <c r="J21" s="134">
        <f>IF(ISBLANK($B21),"",INDEX('Výsledková listina'!PRINT_AREA,MATCH($B21,'Výsledková listina'!$E:$E,0),13))</f>
        <v>8</v>
      </c>
      <c r="K21" s="230">
        <f>IF(ISBLANK($A21),"",SUM(I21:I23))</f>
        <v>0</v>
      </c>
      <c r="L21" s="230">
        <f>IF(ISBLANK($A21),"",SUM(J21:J23))</f>
        <v>23.5</v>
      </c>
      <c r="M21" s="221">
        <f>IF(ISBLANK($A21),"",RANK(L21,L:L,1))</f>
        <v>20</v>
      </c>
      <c r="N21" s="224">
        <f>IF(ISBLANK($A21),"",SUM(F21,K21))</f>
        <v>0</v>
      </c>
      <c r="O21" s="218">
        <f>IF(ISBLANK($A21),"",SUM(G21,L21))</f>
        <v>45.5</v>
      </c>
      <c r="P21" s="221">
        <f>IF(N21="","",RANK(O21,O:O,1))</f>
        <v>20</v>
      </c>
    </row>
    <row r="22" spans="1:16" s="135" customFormat="1" ht="12.75" customHeight="1">
      <c r="A22" s="228"/>
      <c r="B22" s="145">
        <v>2534</v>
      </c>
      <c r="C22" s="137" t="str">
        <f>IF(ISBLANK($B22),"",INDEX('Výsledková listina'!PRINT_AREA,MATCH($B22,'Výsledková listina'!$E:$E,0),2))</f>
        <v>Staněk Karel</v>
      </c>
      <c r="D22" s="138">
        <f>IF(ISBLANK($B22),"",INDEX('Výsledková listina'!PRINT_AREA,MATCH($B22,'Výsledková listina'!$E:$E,0),8))</f>
        <v>0</v>
      </c>
      <c r="E22" s="139">
        <f>IF(ISBLANK($B22),"",INDEX('Výsledková listina'!PRINT_AREA,MATCH($B22,'Výsledková listina'!$E:$E,0),9))</f>
        <v>7</v>
      </c>
      <c r="F22" s="231"/>
      <c r="G22" s="231"/>
      <c r="H22" s="222"/>
      <c r="I22" s="138">
        <f>IF(ISBLANK($B22),"",INDEX('Výsledková listina'!PRINT_AREA,MATCH($B22,'Výsledková listina'!$E:$E,0),12))</f>
        <v>0</v>
      </c>
      <c r="J22" s="139">
        <f>IF(ISBLANK($B22),"",INDEX('Výsledková listina'!PRINT_AREA,MATCH($B22,'Výsledková listina'!$E:$E,0),13))</f>
        <v>7</v>
      </c>
      <c r="K22" s="231"/>
      <c r="L22" s="231"/>
      <c r="M22" s="222"/>
      <c r="N22" s="225"/>
      <c r="O22" s="219"/>
      <c r="P22" s="222"/>
    </row>
    <row r="23" spans="1:16" s="135" customFormat="1" ht="13.5" customHeight="1" thickBot="1">
      <c r="A23" s="229"/>
      <c r="B23" s="146">
        <v>2286</v>
      </c>
      <c r="C23" s="141" t="str">
        <f>IF(ISBLANK($B23),"",INDEX('Výsledková listina'!PRINT_AREA,MATCH($B23,'Výsledková listina'!$E:$E,0),2))</f>
        <v>Tóth Petr</v>
      </c>
      <c r="D23" s="142">
        <f>IF(ISBLANK($B23),"",INDEX('Výsledková listina'!PRINT_AREA,MATCH($B23,'Výsledková listina'!$E:$E,0),8))</f>
        <v>0</v>
      </c>
      <c r="E23" s="143">
        <f>IF(ISBLANK($B23),"",INDEX('Výsledková listina'!PRINT_AREA,MATCH($B23,'Výsledková listina'!$E:$E,0),9))</f>
        <v>7.5</v>
      </c>
      <c r="F23" s="232"/>
      <c r="G23" s="232"/>
      <c r="H23" s="234"/>
      <c r="I23" s="142">
        <f>IF(ISBLANK($B23),"",INDEX('Výsledková listina'!PRINT_AREA,MATCH($B23,'Výsledková listina'!$E:$E,0),12))</f>
        <v>0</v>
      </c>
      <c r="J23" s="143">
        <f>IF(ISBLANK($B23),"",INDEX('Výsledková listina'!PRINT_AREA,MATCH($B23,'Výsledková listina'!$E:$E,0),13))</f>
        <v>8.5</v>
      </c>
      <c r="K23" s="232"/>
      <c r="L23" s="232"/>
      <c r="M23" s="223"/>
      <c r="N23" s="226"/>
      <c r="O23" s="220"/>
      <c r="P23" s="223"/>
    </row>
    <row r="24" spans="1:16" s="135" customFormat="1" ht="12.75" customHeight="1">
      <c r="A24" s="227" t="s">
        <v>108</v>
      </c>
      <c r="B24" s="144">
        <v>2302</v>
      </c>
      <c r="C24" s="132" t="str">
        <f>IF(ISBLANK($B24),"",INDEX('Výsledková listina'!PRINT_AREA,MATCH($B24,'Výsledková listina'!$E:$E,0),2))</f>
        <v>Chalupa Ladislav</v>
      </c>
      <c r="D24" s="133">
        <f>IF(ISBLANK($B24),"",INDEX('Výsledková listina'!PRINT_AREA,MATCH($B24,'Výsledková listina'!$E:$E,0),8))</f>
        <v>2440</v>
      </c>
      <c r="E24" s="134">
        <f>IF(ISBLANK($B24),"",INDEX('Výsledková listina'!PRINT_AREA,MATCH($B24,'Výsledková listina'!$E:$E,0),9))</f>
        <v>1</v>
      </c>
      <c r="F24" s="230">
        <f>IF(ISBLANK($A24),"",SUM(D24:D26))</f>
        <v>2440</v>
      </c>
      <c r="G24" s="230">
        <f>IF(ISBLANK($A24),"",SUM(E24:E26))</f>
        <v>15</v>
      </c>
      <c r="H24" s="233">
        <f>IF(ISBLANK($A24),"",RANK(G24,G:G,1))</f>
        <v>7</v>
      </c>
      <c r="I24" s="133">
        <f>IF(ISBLANK($B24),"",INDEX('Výsledková listina'!PRINT_AREA,MATCH($B24,'Výsledková listina'!$E:$E,0),12))</f>
        <v>1220</v>
      </c>
      <c r="J24" s="134">
        <f>IF(ISBLANK($B24),"",INDEX('Výsledková listina'!PRINT_AREA,MATCH($B24,'Výsledková listina'!$E:$E,0),13))</f>
        <v>1</v>
      </c>
      <c r="K24" s="230">
        <f>IF(ISBLANK($A24),"",SUM(I24:I26))</f>
        <v>1220</v>
      </c>
      <c r="L24" s="230">
        <f>IF(ISBLANK($A24),"",SUM(J24:J26))</f>
        <v>12.5</v>
      </c>
      <c r="M24" s="221">
        <f>IF(ISBLANK($A24),"",RANK(L24,L:L,1))</f>
        <v>4</v>
      </c>
      <c r="N24" s="224">
        <f>IF(ISBLANK($A24),"",SUM(F24,K24))</f>
        <v>3660</v>
      </c>
      <c r="O24" s="218">
        <f>IF(ISBLANK($A24),"",SUM(G24,L24))</f>
        <v>27.5</v>
      </c>
      <c r="P24" s="221">
        <f>IF(N24="","",RANK(O24,O:O,1))</f>
        <v>6</v>
      </c>
    </row>
    <row r="25" spans="1:16" s="135" customFormat="1" ht="12.75" customHeight="1">
      <c r="A25" s="228"/>
      <c r="B25" s="145">
        <v>2301</v>
      </c>
      <c r="C25" s="137" t="str">
        <f>IF(ISBLANK($B25),"",INDEX('Výsledková listina'!PRINT_AREA,MATCH($B25,'Výsledková listina'!$E:$E,0),2))</f>
        <v>Pelíšek František</v>
      </c>
      <c r="D25" s="138">
        <f>IF(ISBLANK($B25),"",INDEX('Výsledková listina'!PRINT_AREA,MATCH($B25,'Výsledková listina'!$E:$E,0),8))</f>
        <v>0</v>
      </c>
      <c r="E25" s="139">
        <f>IF(ISBLANK($B25),"",INDEX('Výsledková listina'!PRINT_AREA,MATCH($B25,'Výsledková listina'!$E:$E,0),9))</f>
        <v>7</v>
      </c>
      <c r="F25" s="231"/>
      <c r="G25" s="231"/>
      <c r="H25" s="222"/>
      <c r="I25" s="138">
        <f>IF(ISBLANK($B25),"",INDEX('Výsledková listina'!PRINT_AREA,MATCH($B25,'Výsledková listina'!$E:$E,0),12))</f>
        <v>0</v>
      </c>
      <c r="J25" s="139">
        <f>IF(ISBLANK($B25),"",INDEX('Výsledková listina'!PRINT_AREA,MATCH($B25,'Výsledková listina'!$E:$E,0),13))</f>
        <v>5.5</v>
      </c>
      <c r="K25" s="231"/>
      <c r="L25" s="231"/>
      <c r="M25" s="222"/>
      <c r="N25" s="225"/>
      <c r="O25" s="219"/>
      <c r="P25" s="222"/>
    </row>
    <row r="26" spans="1:16" s="135" customFormat="1" ht="13.5" customHeight="1" thickBot="1">
      <c r="A26" s="229"/>
      <c r="B26" s="146">
        <v>617</v>
      </c>
      <c r="C26" s="141" t="str">
        <f>IF(ISBLANK($B26),"",INDEX('Výsledková listina'!PRINT_AREA,MATCH($B26,'Výsledková listina'!$E:$E,0),2))</f>
        <v>Vinař René</v>
      </c>
      <c r="D26" s="142">
        <f>IF(ISBLANK($B26),"",INDEX('Výsledková listina'!PRINT_AREA,MATCH($B26,'Výsledková listina'!$E:$E,0),8))</f>
        <v>0</v>
      </c>
      <c r="E26" s="143">
        <f>IF(ISBLANK($B26),"",INDEX('Výsledková listina'!PRINT_AREA,MATCH($B26,'Výsledková listina'!$E:$E,0),9))</f>
        <v>7</v>
      </c>
      <c r="F26" s="232"/>
      <c r="G26" s="232"/>
      <c r="H26" s="234"/>
      <c r="I26" s="142">
        <f>IF(ISBLANK($B26),"",INDEX('Výsledková listina'!PRINT_AREA,MATCH($B26,'Výsledková listina'!$E:$E,0),12))</f>
        <v>0</v>
      </c>
      <c r="J26" s="143">
        <f>IF(ISBLANK($B26),"",INDEX('Výsledková listina'!PRINT_AREA,MATCH($B26,'Výsledková listina'!$E:$E,0),13))</f>
        <v>6</v>
      </c>
      <c r="K26" s="232"/>
      <c r="L26" s="232"/>
      <c r="M26" s="223"/>
      <c r="N26" s="226"/>
      <c r="O26" s="220"/>
      <c r="P26" s="223"/>
    </row>
    <row r="27" spans="1:16" s="135" customFormat="1" ht="12.75" customHeight="1">
      <c r="A27" s="227" t="s">
        <v>173</v>
      </c>
      <c r="B27" s="144">
        <v>2309</v>
      </c>
      <c r="C27" s="132" t="str">
        <f>IF(ISBLANK($B27),"",INDEX('Výsledková listina'!PRINT_AREA,MATCH($B27,'Výsledková listina'!$E:$E,0),2))</f>
        <v>Kasl Luboš</v>
      </c>
      <c r="D27" s="133">
        <f>IF(ISBLANK($B27),"",INDEX('Výsledková listina'!PRINT_AREA,MATCH($B27,'Výsledková listina'!$E:$E,0),8))</f>
        <v>0</v>
      </c>
      <c r="E27" s="134">
        <f>IF(ISBLANK($B27),"",INDEX('Výsledková listina'!PRINT_AREA,MATCH($B27,'Výsledková listina'!$E:$E,0),9))</f>
        <v>7</v>
      </c>
      <c r="F27" s="230">
        <f>IF(ISBLANK($A27),"",SUM(D27:D29))</f>
        <v>1720</v>
      </c>
      <c r="G27" s="230">
        <f>IF(ISBLANK($A27),"",SUM(E27:E29))</f>
        <v>16</v>
      </c>
      <c r="H27" s="233">
        <f>IF(ISBLANK($A27),"",RANK(G27,G:G,1))</f>
        <v>9</v>
      </c>
      <c r="I27" s="133">
        <f>IF(ISBLANK($B27),"",INDEX('Výsledková listina'!PRINT_AREA,MATCH($B27,'Výsledková listina'!$E:$E,0),12))</f>
        <v>0</v>
      </c>
      <c r="J27" s="134">
        <f>IF(ISBLANK($B27),"",INDEX('Výsledková listina'!PRINT_AREA,MATCH($B27,'Výsledková listina'!$E:$E,0),13))</f>
        <v>6</v>
      </c>
      <c r="K27" s="230">
        <f>IF(ISBLANK($A27),"",SUM(I27:I29))</f>
        <v>240</v>
      </c>
      <c r="L27" s="230">
        <f>IF(ISBLANK($A27),"",SUM(J27:J29))</f>
        <v>17.5</v>
      </c>
      <c r="M27" s="221">
        <f>IF(ISBLANK($A27),"",RANK(L27,L:L,1))</f>
        <v>13</v>
      </c>
      <c r="N27" s="224">
        <f>IF(ISBLANK($A27),"",SUM(F27,K27))</f>
        <v>1960</v>
      </c>
      <c r="O27" s="218">
        <f>IF(ISBLANK($A27),"",SUM(G27,L27))</f>
        <v>33.5</v>
      </c>
      <c r="P27" s="221">
        <f>IF(N27="","",RANK(O27,O:O,1))</f>
        <v>12</v>
      </c>
    </row>
    <row r="28" spans="1:16" s="135" customFormat="1" ht="12.75" customHeight="1">
      <c r="A28" s="228"/>
      <c r="B28" s="145">
        <v>2336</v>
      </c>
      <c r="C28" s="137" t="str">
        <f>IF(ISBLANK($B28),"",INDEX('Výsledková listina'!PRINT_AREA,MATCH($B28,'Výsledková listina'!$E:$E,0),2))</f>
        <v>Podrápský Petr</v>
      </c>
      <c r="D28" s="138">
        <f>IF(ISBLANK($B28),"",INDEX('Výsledková listina'!PRINT_AREA,MATCH($B28,'Výsledková listina'!$E:$E,0),8))</f>
        <v>1720</v>
      </c>
      <c r="E28" s="139">
        <f>IF(ISBLANK($B28),"",INDEX('Výsledková listina'!PRINT_AREA,MATCH($B28,'Výsledková listina'!$E:$E,0),9))</f>
        <v>2</v>
      </c>
      <c r="F28" s="231"/>
      <c r="G28" s="231"/>
      <c r="H28" s="222"/>
      <c r="I28" s="138">
        <f>IF(ISBLANK($B28),"",INDEX('Výsledková listina'!PRINT_AREA,MATCH($B28,'Výsledková listina'!$E:$E,0),12))</f>
        <v>0</v>
      </c>
      <c r="J28" s="139">
        <f>IF(ISBLANK($B28),"",INDEX('Výsledková listina'!PRINT_AREA,MATCH($B28,'Výsledková listina'!$E:$E,0),13))</f>
        <v>5.5</v>
      </c>
      <c r="K28" s="231"/>
      <c r="L28" s="231"/>
      <c r="M28" s="222"/>
      <c r="N28" s="225"/>
      <c r="O28" s="219"/>
      <c r="P28" s="222"/>
    </row>
    <row r="29" spans="1:16" s="135" customFormat="1" ht="13.5" customHeight="1" thickBot="1">
      <c r="A29" s="229"/>
      <c r="B29" s="146">
        <v>2334</v>
      </c>
      <c r="C29" s="141" t="str">
        <f>IF(ISBLANK($B29),"",INDEX('Výsledková listina'!PRINT_AREA,MATCH($B29,'Výsledková listina'!$E:$E,0),2))</f>
        <v>Stříbrský Voktor</v>
      </c>
      <c r="D29" s="142">
        <f>IF(ISBLANK($B29),"",INDEX('Výsledková listina'!PRINT_AREA,MATCH($B29,'Výsledková listina'!$E:$E,0),8))</f>
        <v>0</v>
      </c>
      <c r="E29" s="143">
        <f>IF(ISBLANK($B29),"",INDEX('Výsledková listina'!PRINT_AREA,MATCH($B29,'Výsledková listina'!$E:$E,0),9))</f>
        <v>7</v>
      </c>
      <c r="F29" s="232"/>
      <c r="G29" s="232"/>
      <c r="H29" s="234"/>
      <c r="I29" s="142">
        <f>IF(ISBLANK($B29),"",INDEX('Výsledková listina'!PRINT_AREA,MATCH($B29,'Výsledková listina'!$E:$E,0),12))</f>
        <v>240</v>
      </c>
      <c r="J29" s="143">
        <f>IF(ISBLANK($B29),"",INDEX('Výsledková listina'!PRINT_AREA,MATCH($B29,'Výsledková listina'!$E:$E,0),13))</f>
        <v>6</v>
      </c>
      <c r="K29" s="232"/>
      <c r="L29" s="232"/>
      <c r="M29" s="223"/>
      <c r="N29" s="226"/>
      <c r="O29" s="220"/>
      <c r="P29" s="223"/>
    </row>
    <row r="30" spans="1:16" s="135" customFormat="1" ht="12.75" customHeight="1">
      <c r="A30" s="238" t="s">
        <v>118</v>
      </c>
      <c r="B30" s="144">
        <v>1321</v>
      </c>
      <c r="C30" s="132" t="str">
        <f>IF(ISBLANK($B30),"",INDEX('Výsledková listina'!PRINT_AREA,MATCH($B30,'Výsledková listina'!$E:$E,0),2))</f>
        <v>Srb Roman</v>
      </c>
      <c r="D30" s="133">
        <f>IF(ISBLANK($B30),"",INDEX('Výsledková listina'!PRINT_AREA,MATCH($B30,'Výsledková listina'!$E:$E,0),8))</f>
        <v>1680</v>
      </c>
      <c r="E30" s="134">
        <f>IF(ISBLANK($B30),"",INDEX('Výsledková listina'!PRINT_AREA,MATCH($B30,'Výsledková listina'!$E:$E,0),9))</f>
        <v>2</v>
      </c>
      <c r="F30" s="230">
        <f>IF(ISBLANK($A30),"",SUM(D30:D32))</f>
        <v>2500</v>
      </c>
      <c r="G30" s="230">
        <f>IF(ISBLANK($A30),"",SUM(E30:E32))</f>
        <v>8</v>
      </c>
      <c r="H30" s="233">
        <f>IF(ISBLANK($A30),"",RANK(G30,G:G,1))</f>
        <v>2</v>
      </c>
      <c r="I30" s="133">
        <f>IF(ISBLANK($B30),"",INDEX('Výsledková listina'!PRINT_AREA,MATCH($B30,'Výsledková listina'!$E:$E,0),12))</f>
        <v>1780</v>
      </c>
      <c r="J30" s="134">
        <f>IF(ISBLANK($B30),"",INDEX('Výsledková listina'!PRINT_AREA,MATCH($B30,'Výsledková listina'!$E:$E,0),13))</f>
        <v>1</v>
      </c>
      <c r="K30" s="230">
        <f>IF(ISBLANK($A30),"",SUM(I30:I32))</f>
        <v>2420</v>
      </c>
      <c r="L30" s="230">
        <f>IF(ISBLANK($A30),"",SUM(J30:J32))</f>
        <v>11</v>
      </c>
      <c r="M30" s="221">
        <f>IF(ISBLANK($A30),"",RANK(L30,L:L,1))</f>
        <v>2</v>
      </c>
      <c r="N30" s="224">
        <f>IF(ISBLANK($A30),"",SUM(F30,K30))</f>
        <v>4920</v>
      </c>
      <c r="O30" s="218">
        <f>IF(ISBLANK($A30),"",SUM(G30,L30))</f>
        <v>19</v>
      </c>
      <c r="P30" s="221">
        <f>IF(N30="","",RANK(O30,O:O,1))</f>
        <v>1</v>
      </c>
    </row>
    <row r="31" spans="1:16" s="135" customFormat="1" ht="12.75" customHeight="1">
      <c r="A31" s="239"/>
      <c r="B31" s="145">
        <v>2327</v>
      </c>
      <c r="C31" s="137" t="str">
        <f>IF(ISBLANK($B31),"",INDEX('Výsledková listina'!PRINT_AREA,MATCH($B31,'Výsledková listina'!$E:$E,0),2))</f>
        <v>Douša Jan</v>
      </c>
      <c r="D31" s="138">
        <f>IF(ISBLANK($B31),"",INDEX('Výsledková listina'!PRINT_AREA,MATCH($B31,'Výsledková listina'!$E:$E,0),8))</f>
        <v>440</v>
      </c>
      <c r="E31" s="139">
        <f>IF(ISBLANK($B31),"",INDEX('Výsledková listina'!PRINT_AREA,MATCH($B31,'Výsledková listina'!$E:$E,0),9))</f>
        <v>4</v>
      </c>
      <c r="F31" s="231"/>
      <c r="G31" s="231"/>
      <c r="H31" s="222"/>
      <c r="I31" s="138">
        <f>IF(ISBLANK($B31),"",INDEX('Výsledková listina'!PRINT_AREA,MATCH($B31,'Výsledková listina'!$E:$E,0),12))</f>
        <v>0</v>
      </c>
      <c r="J31" s="139">
        <f>IF(ISBLANK($B31),"",INDEX('Výsledková listina'!PRINT_AREA,MATCH($B31,'Výsledková listina'!$E:$E,0),13))</f>
        <v>8</v>
      </c>
      <c r="K31" s="231"/>
      <c r="L31" s="231"/>
      <c r="M31" s="222"/>
      <c r="N31" s="225"/>
      <c r="O31" s="219"/>
      <c r="P31" s="222"/>
    </row>
    <row r="32" spans="1:16" s="135" customFormat="1" ht="13.5" customHeight="1" thickBot="1">
      <c r="A32" s="240"/>
      <c r="B32" s="146">
        <v>2319</v>
      </c>
      <c r="C32" s="141" t="str">
        <f>IF(ISBLANK($B32),"",INDEX('Výsledková listina'!PRINT_AREA,MATCH($B32,'Výsledková listina'!$E:$E,0),2))</f>
        <v>Šurgota Juraj</v>
      </c>
      <c r="D32" s="142">
        <f>IF(ISBLANK($B32),"",INDEX('Výsledková listina'!PRINT_AREA,MATCH($B32,'Výsledková listina'!$E:$E,0),8))</f>
        <v>380</v>
      </c>
      <c r="E32" s="143">
        <f>IF(ISBLANK($B32),"",INDEX('Výsledková listina'!PRINT_AREA,MATCH($B32,'Výsledková listina'!$E:$E,0),9))</f>
        <v>2</v>
      </c>
      <c r="F32" s="232"/>
      <c r="G32" s="232"/>
      <c r="H32" s="234"/>
      <c r="I32" s="142">
        <f>IF(ISBLANK($B32),"",INDEX('Výsledková listina'!PRINT_AREA,MATCH($B32,'Výsledková listina'!$E:$E,0),12))</f>
        <v>640</v>
      </c>
      <c r="J32" s="143">
        <f>IF(ISBLANK($B32),"",INDEX('Výsledková listina'!PRINT_AREA,MATCH($B32,'Výsledková listina'!$E:$E,0),13))</f>
        <v>2</v>
      </c>
      <c r="K32" s="232"/>
      <c r="L32" s="232"/>
      <c r="M32" s="223"/>
      <c r="N32" s="226"/>
      <c r="O32" s="220"/>
      <c r="P32" s="223"/>
    </row>
    <row r="33" spans="1:16" s="135" customFormat="1" ht="12.75" customHeight="1">
      <c r="A33" s="227" t="s">
        <v>119</v>
      </c>
      <c r="B33" s="144">
        <v>2259</v>
      </c>
      <c r="C33" s="132" t="str">
        <f>IF(ISBLANK($B33),"",INDEX('Výsledková listina'!PRINT_AREA,MATCH($B33,'Výsledková listina'!$E:$E,0),2))</f>
        <v>Bromovský Petr</v>
      </c>
      <c r="D33" s="133">
        <f>IF(ISBLANK($B33),"",INDEX('Výsledková listina'!PRINT_AREA,MATCH($B33,'Výsledková listina'!$E:$E,0),8))</f>
        <v>0</v>
      </c>
      <c r="E33" s="134">
        <f>IF(ISBLANK($B33),"",INDEX('Výsledková listina'!PRINT_AREA,MATCH($B33,'Výsledková listina'!$E:$E,0),9))</f>
        <v>7.5</v>
      </c>
      <c r="F33" s="230">
        <f>IF(ISBLANK($A33),"",SUM(D33:D35))</f>
        <v>240</v>
      </c>
      <c r="G33" s="230">
        <f>IF(ISBLANK($A33),"",SUM(E33:E35))</f>
        <v>19.5</v>
      </c>
      <c r="H33" s="233">
        <f>IF(ISBLANK($A33),"",RANK(G33,G:G,1))</f>
        <v>12</v>
      </c>
      <c r="I33" s="133">
        <f>IF(ISBLANK($B33),"",INDEX('Výsledková listina'!PRINT_AREA,MATCH($B33,'Výsledková listina'!$E:$E,0),12))</f>
        <v>120</v>
      </c>
      <c r="J33" s="134">
        <f>IF(ISBLANK($B33),"",INDEX('Výsledková listina'!PRINT_AREA,MATCH($B33,'Výsledková listina'!$E:$E,0),13))</f>
        <v>4</v>
      </c>
      <c r="K33" s="230">
        <f>IF(ISBLANK($A33),"",SUM(I33:I35))</f>
        <v>1040</v>
      </c>
      <c r="L33" s="230">
        <f>IF(ISBLANK($A33),"",SUM(J33:J35))</f>
        <v>12</v>
      </c>
      <c r="M33" s="221">
        <f>IF(ISBLANK($A33),"",RANK(L33,L:L,1))</f>
        <v>3</v>
      </c>
      <c r="N33" s="224">
        <f>IF(ISBLANK($A33),"",SUM(F33,K33))</f>
        <v>1280</v>
      </c>
      <c r="O33" s="218">
        <f>IF(ISBLANK($A33),"",SUM(G33,L33))</f>
        <v>31.5</v>
      </c>
      <c r="P33" s="221">
        <f>IF(N33="","",RANK(O33,O:O,1))</f>
        <v>9</v>
      </c>
    </row>
    <row r="34" spans="1:16" s="135" customFormat="1" ht="12.75" customHeight="1">
      <c r="A34" s="228"/>
      <c r="B34" s="145">
        <v>2391</v>
      </c>
      <c r="C34" s="137" t="str">
        <f>IF(ISBLANK($B34),"",INDEX('Výsledková listina'!PRINT_AREA,MATCH($B34,'Výsledková listina'!$E:$E,0),2))</f>
        <v>Bartoň Roman</v>
      </c>
      <c r="D34" s="138">
        <f>IF(ISBLANK($B34),"",INDEX('Výsledková listina'!PRINT_AREA,MATCH($B34,'Výsledková listina'!$E:$E,0),8))</f>
        <v>240</v>
      </c>
      <c r="E34" s="139">
        <f>IF(ISBLANK($B34),"",INDEX('Výsledková listina'!PRINT_AREA,MATCH($B34,'Výsledková listina'!$E:$E,0),9))</f>
        <v>5</v>
      </c>
      <c r="F34" s="231"/>
      <c r="G34" s="231"/>
      <c r="H34" s="222"/>
      <c r="I34" s="138">
        <f>IF(ISBLANK($B34),"",INDEX('Výsledková listina'!PRINT_AREA,MATCH($B34,'Výsledková listina'!$E:$E,0),12))</f>
        <v>920</v>
      </c>
      <c r="J34" s="139">
        <f>IF(ISBLANK($B34),"",INDEX('Výsledková listina'!PRINT_AREA,MATCH($B34,'Výsledková listina'!$E:$E,0),13))</f>
        <v>2</v>
      </c>
      <c r="K34" s="231"/>
      <c r="L34" s="231"/>
      <c r="M34" s="222"/>
      <c r="N34" s="225"/>
      <c r="O34" s="219"/>
      <c r="P34" s="222"/>
    </row>
    <row r="35" spans="1:16" s="135" customFormat="1" ht="13.5" customHeight="1" thickBot="1">
      <c r="A35" s="229"/>
      <c r="B35" s="146">
        <v>2363</v>
      </c>
      <c r="C35" s="141" t="str">
        <f>IF(ISBLANK($B35),"",INDEX('Výsledková listina'!PRINT_AREA,MATCH($B35,'Výsledková listina'!$E:$E,0),2))</f>
        <v>Konopásek Jaroslav</v>
      </c>
      <c r="D35" s="142">
        <f>IF(ISBLANK($B35),"",INDEX('Výsledková listina'!PRINT_AREA,MATCH($B35,'Výsledková listina'!$E:$E,0),8))</f>
        <v>0</v>
      </c>
      <c r="E35" s="143">
        <f>IF(ISBLANK($B35),"",INDEX('Výsledková listina'!PRINT_AREA,MATCH($B35,'Výsledková listina'!$E:$E,0),9))</f>
        <v>7</v>
      </c>
      <c r="F35" s="232"/>
      <c r="G35" s="232"/>
      <c r="H35" s="234"/>
      <c r="I35" s="142">
        <f>IF(ISBLANK($B35),"",INDEX('Výsledková listina'!PRINT_AREA,MATCH($B35,'Výsledková listina'!$E:$E,0),12))</f>
        <v>0</v>
      </c>
      <c r="J35" s="143">
        <f>IF(ISBLANK($B35),"",INDEX('Výsledková listina'!PRINT_AREA,MATCH($B35,'Výsledková listina'!$E:$E,0),13))</f>
        <v>6</v>
      </c>
      <c r="K35" s="232"/>
      <c r="L35" s="232"/>
      <c r="M35" s="223"/>
      <c r="N35" s="226"/>
      <c r="O35" s="220"/>
      <c r="P35" s="223"/>
    </row>
    <row r="36" spans="1:16" s="135" customFormat="1" ht="12.75" customHeight="1">
      <c r="A36" s="227" t="s">
        <v>129</v>
      </c>
      <c r="B36" s="144">
        <v>4</v>
      </c>
      <c r="C36" s="132" t="str">
        <f>IF(ISBLANK($B36),"",INDEX('Výsledková listina'!PRINT_AREA,MATCH($B36,'Výsledková listina'!$E:$E,0),2))</f>
        <v>Štěpnička Milan</v>
      </c>
      <c r="D36" s="133">
        <f>IF(ISBLANK($B36),"",INDEX('Výsledková listina'!PRINT_AREA,MATCH($B36,'Výsledková listina'!$E:$E,0),8))</f>
        <v>0</v>
      </c>
      <c r="E36" s="134">
        <f>IF(ISBLANK($B36),"",INDEX('Výsledková listina'!PRINT_AREA,MATCH($B36,'Výsledková listina'!$E:$E,0),9))</f>
        <v>8.5</v>
      </c>
      <c r="F36" s="230">
        <f>IF(ISBLANK($A36),"",SUM(D36:D38))</f>
        <v>480</v>
      </c>
      <c r="G36" s="230">
        <f>IF(ISBLANK($A36),"",SUM(E36:E38))</f>
        <v>20</v>
      </c>
      <c r="H36" s="233">
        <f>IF(ISBLANK($A36),"",RANK(G36,G:G,1))</f>
        <v>14</v>
      </c>
      <c r="I36" s="133">
        <f>IF(ISBLANK($B36),"",INDEX('Výsledková listina'!PRINT_AREA,MATCH($B36,'Výsledková listina'!$E:$E,0),12))</f>
        <v>0</v>
      </c>
      <c r="J36" s="134">
        <f>IF(ISBLANK($B36),"",INDEX('Výsledková listina'!PRINT_AREA,MATCH($B36,'Výsledková listina'!$E:$E,0),13))</f>
        <v>6</v>
      </c>
      <c r="K36" s="230">
        <f>IF(ISBLANK($A36),"",SUM(I36:I38))</f>
        <v>0</v>
      </c>
      <c r="L36" s="230">
        <f>IF(ISBLANK($A36),"",SUM(J36:J38))</f>
        <v>20</v>
      </c>
      <c r="M36" s="221">
        <f>IF(ISBLANK($A36),"",RANK(L36,L:L,1))</f>
        <v>15</v>
      </c>
      <c r="N36" s="224">
        <f>IF(ISBLANK($A36),"",SUM(F36,K36))</f>
        <v>480</v>
      </c>
      <c r="O36" s="218">
        <f>IF(ISBLANK($A36),"",SUM(G36,L36))</f>
        <v>40</v>
      </c>
      <c r="P36" s="221">
        <f>IF(N36="","",RANK(O36,O:O,1))</f>
        <v>17</v>
      </c>
    </row>
    <row r="37" spans="1:16" s="135" customFormat="1" ht="12.75" customHeight="1">
      <c r="A37" s="228"/>
      <c r="B37" s="145">
        <v>5</v>
      </c>
      <c r="C37" s="137" t="str">
        <f>IF(ISBLANK($B37),"",INDEX('Výsledková listina'!PRINT_AREA,MATCH($B37,'Výsledková listina'!$E:$E,0),2))</f>
        <v>Štěpnička Radek</v>
      </c>
      <c r="D37" s="138">
        <f>IF(ISBLANK($B37),"",INDEX('Výsledková listina'!PRINT_AREA,MATCH($B37,'Výsledková listina'!$E:$E,0),8))</f>
        <v>0</v>
      </c>
      <c r="E37" s="139">
        <f>IF(ISBLANK($B37),"",INDEX('Výsledková listina'!PRINT_AREA,MATCH($B37,'Výsledková listina'!$E:$E,0),9))</f>
        <v>7.5</v>
      </c>
      <c r="F37" s="231"/>
      <c r="G37" s="231"/>
      <c r="H37" s="222"/>
      <c r="I37" s="138">
        <f>IF(ISBLANK($B37),"",INDEX('Výsledková listina'!PRINT_AREA,MATCH($B37,'Výsledková listina'!$E:$E,0),12))</f>
        <v>0</v>
      </c>
      <c r="J37" s="139">
        <f>IF(ISBLANK($B37),"",INDEX('Výsledková listina'!PRINT_AREA,MATCH($B37,'Výsledková listina'!$E:$E,0),13))</f>
        <v>8.5</v>
      </c>
      <c r="K37" s="231"/>
      <c r="L37" s="231"/>
      <c r="M37" s="222"/>
      <c r="N37" s="225"/>
      <c r="O37" s="219"/>
      <c r="P37" s="222"/>
    </row>
    <row r="38" spans="1:16" s="135" customFormat="1" ht="13.5" customHeight="1" thickBot="1">
      <c r="A38" s="229"/>
      <c r="B38" s="146">
        <v>6</v>
      </c>
      <c r="C38" s="141" t="str">
        <f>IF(ISBLANK($B38),"",INDEX('Výsledková listina'!PRINT_AREA,MATCH($B38,'Výsledková listina'!$E:$E,0),2))</f>
        <v>Baranka Vladimír</v>
      </c>
      <c r="D38" s="142">
        <f>IF(ISBLANK($B38),"",INDEX('Výsledková listina'!PRINT_AREA,MATCH($B38,'Výsledková listina'!$E:$E,0),8))</f>
        <v>480</v>
      </c>
      <c r="E38" s="143">
        <f>IF(ISBLANK($B38),"",INDEX('Výsledková listina'!PRINT_AREA,MATCH($B38,'Výsledková listina'!$E:$E,0),9))</f>
        <v>4</v>
      </c>
      <c r="F38" s="232"/>
      <c r="G38" s="232"/>
      <c r="H38" s="234"/>
      <c r="I38" s="142">
        <f>IF(ISBLANK($B38),"",INDEX('Výsledková listina'!PRINT_AREA,MATCH($B38,'Výsledková listina'!$E:$E,0),12))</f>
        <v>0</v>
      </c>
      <c r="J38" s="143">
        <f>IF(ISBLANK($B38),"",INDEX('Výsledková listina'!PRINT_AREA,MATCH($B38,'Výsledková listina'!$E:$E,0),13))</f>
        <v>5.5</v>
      </c>
      <c r="K38" s="232"/>
      <c r="L38" s="232"/>
      <c r="M38" s="223"/>
      <c r="N38" s="226"/>
      <c r="O38" s="220"/>
      <c r="P38" s="223"/>
    </row>
    <row r="39" spans="1:16" s="135" customFormat="1" ht="12.75" customHeight="1">
      <c r="A39" s="227" t="s">
        <v>130</v>
      </c>
      <c r="B39" s="144">
        <v>753</v>
      </c>
      <c r="C39" s="132" t="str">
        <f>IF(ISBLANK($B39),"",INDEX('Výsledková listina'!PRINT_AREA,MATCH($B39,'Výsledková listina'!$E:$E,0),2))</f>
        <v>František Koubek</v>
      </c>
      <c r="D39" s="133">
        <f>IF(ISBLANK($B39),"",INDEX('Výsledková listina'!PRINT_AREA,MATCH($B39,'Výsledková listina'!$E:$E,0),8))</f>
        <v>0</v>
      </c>
      <c r="E39" s="134">
        <f>IF(ISBLANK($B39),"",INDEX('Výsledková listina'!PRINT_AREA,MATCH($B39,'Výsledková listina'!$E:$E,0),9))</f>
        <v>7.5</v>
      </c>
      <c r="F39" s="230">
        <f>IF(ISBLANK($A39),"",SUM(D39:D41))</f>
        <v>0</v>
      </c>
      <c r="G39" s="230">
        <f>IF(ISBLANK($A39),"",SUM(E39:E41))</f>
        <v>22</v>
      </c>
      <c r="H39" s="233">
        <f>IF(ISBLANK($A39),"",RANK(G39,G:G,1))</f>
        <v>16</v>
      </c>
      <c r="I39" s="133">
        <f>IF(ISBLANK($B39),"",INDEX('Výsledková listina'!PRINT_AREA,MATCH($B39,'Výsledková listina'!$E:$E,0),12))</f>
        <v>0</v>
      </c>
      <c r="J39" s="134">
        <f>IF(ISBLANK($B39),"",INDEX('Výsledková listina'!PRINT_AREA,MATCH($B39,'Výsledková listina'!$E:$E,0),13))</f>
        <v>8.5</v>
      </c>
      <c r="K39" s="230">
        <f>IF(ISBLANK($A39),"",SUM(I39:I41))</f>
        <v>2060</v>
      </c>
      <c r="L39" s="230">
        <f>IF(ISBLANK($A39),"",SUM(J39:J41))</f>
        <v>15.5</v>
      </c>
      <c r="M39" s="221">
        <f>IF(ISBLANK($A39),"",RANK(L39,L:L,1))</f>
        <v>10</v>
      </c>
      <c r="N39" s="224">
        <f>IF(ISBLANK($A39),"",SUM(F39,K39))</f>
        <v>2060</v>
      </c>
      <c r="O39" s="218">
        <f>IF(ISBLANK($A39),"",SUM(G39,L39))</f>
        <v>37.5</v>
      </c>
      <c r="P39" s="221">
        <f>IF(N39="","",RANK(O39,O:O,1))</f>
        <v>15</v>
      </c>
    </row>
    <row r="40" spans="1:16" s="135" customFormat="1" ht="12.75" customHeight="1">
      <c r="A40" s="228"/>
      <c r="B40" s="145">
        <v>2263</v>
      </c>
      <c r="C40" s="137" t="str">
        <f>IF(ISBLANK($B40),"",INDEX('Výsledková listina'!PRINT_AREA,MATCH($B40,'Výsledková listina'!$E:$E,0),2))</f>
        <v>Kabourek Václav</v>
      </c>
      <c r="D40" s="138">
        <f>IF(ISBLANK($B40),"",INDEX('Výsledková listina'!PRINT_AREA,MATCH($B40,'Výsledková listina'!$E:$E,0),8))</f>
        <v>0</v>
      </c>
      <c r="E40" s="139">
        <f>IF(ISBLANK($B40),"",INDEX('Výsledková listina'!PRINT_AREA,MATCH($B40,'Výsledková listina'!$E:$E,0),9))</f>
        <v>7.5</v>
      </c>
      <c r="F40" s="231"/>
      <c r="G40" s="231"/>
      <c r="H40" s="222"/>
      <c r="I40" s="138">
        <f>IF(ISBLANK($B40),"",INDEX('Výsledková listina'!PRINT_AREA,MATCH($B40,'Výsledková listina'!$E:$E,0),12))</f>
        <v>0</v>
      </c>
      <c r="J40" s="139">
        <f>IF(ISBLANK($B40),"",INDEX('Výsledková listina'!PRINT_AREA,MATCH($B40,'Výsledková listina'!$E:$E,0),13))</f>
        <v>6</v>
      </c>
      <c r="K40" s="231"/>
      <c r="L40" s="231"/>
      <c r="M40" s="222"/>
      <c r="N40" s="225"/>
      <c r="O40" s="219"/>
      <c r="P40" s="222"/>
    </row>
    <row r="41" spans="1:16" s="135" customFormat="1" ht="13.5" customHeight="1" thickBot="1">
      <c r="A41" s="229"/>
      <c r="B41" s="146">
        <v>9</v>
      </c>
      <c r="C41" s="141" t="str">
        <f>IF(ISBLANK($B41),"",INDEX('Výsledková listina'!PRINT_AREA,MATCH($B41,'Výsledková listina'!$E:$E,0),2))</f>
        <v>Štěpnička Martin</v>
      </c>
      <c r="D41" s="142">
        <f>IF(ISBLANK($B41),"",INDEX('Výsledková listina'!PRINT_AREA,MATCH($B41,'Výsledková listina'!$E:$E,0),8))</f>
        <v>0</v>
      </c>
      <c r="E41" s="143">
        <f>IF(ISBLANK($B41),"",INDEX('Výsledková listina'!PRINT_AREA,MATCH($B41,'Výsledková listina'!$E:$E,0),9))</f>
        <v>7</v>
      </c>
      <c r="F41" s="232"/>
      <c r="G41" s="232"/>
      <c r="H41" s="234"/>
      <c r="I41" s="142">
        <f>IF(ISBLANK($B41),"",INDEX('Výsledková listina'!PRINT_AREA,MATCH($B41,'Výsledková listina'!$E:$E,0),12))</f>
        <v>2060</v>
      </c>
      <c r="J41" s="143">
        <f>IF(ISBLANK($B41),"",INDEX('Výsledková listina'!PRINT_AREA,MATCH($B41,'Výsledková listina'!$E:$E,0),13))</f>
        <v>1</v>
      </c>
      <c r="K41" s="232"/>
      <c r="L41" s="232"/>
      <c r="M41" s="223"/>
      <c r="N41" s="226"/>
      <c r="O41" s="220"/>
      <c r="P41" s="223"/>
    </row>
    <row r="42" spans="1:16" s="135" customFormat="1" ht="12.75" customHeight="1">
      <c r="A42" s="227" t="s">
        <v>134</v>
      </c>
      <c r="B42" s="144">
        <v>1086</v>
      </c>
      <c r="C42" s="132" t="str">
        <f>IF(ISBLANK($B42),"",INDEX('Výsledková listina'!PRINT_AREA,MATCH($B42,'Výsledková listina'!$E:$E,0),2))</f>
        <v>Kuchař Petr</v>
      </c>
      <c r="D42" s="133">
        <f>IF(ISBLANK($B42),"",INDEX('Výsledková listina'!PRINT_AREA,MATCH($B42,'Výsledková listina'!$E:$E,0),8))</f>
        <v>0</v>
      </c>
      <c r="E42" s="134">
        <f>IF(ISBLANK($B42),"",INDEX('Výsledková listina'!PRINT_AREA,MATCH($B42,'Výsledková listina'!$E:$E,0),9))</f>
        <v>7</v>
      </c>
      <c r="F42" s="230">
        <f>IF(ISBLANK($A42),"",SUM(D42:D44))</f>
        <v>0</v>
      </c>
      <c r="G42" s="230">
        <f>IF(ISBLANK($A42),"",SUM(E42:E44))</f>
        <v>21.5</v>
      </c>
      <c r="H42" s="233">
        <f>IF(ISBLANK($A42),"",RANK(G42,G:G,1))</f>
        <v>15</v>
      </c>
      <c r="I42" s="133">
        <f>IF(ISBLANK($B42),"",INDEX('Výsledková listina'!PRINT_AREA,MATCH($B42,'Výsledková listina'!$E:$E,0),12))</f>
        <v>0</v>
      </c>
      <c r="J42" s="134">
        <f>IF(ISBLANK($B42),"",INDEX('Výsledková listina'!PRINT_AREA,MATCH($B42,'Výsledková listina'!$E:$E,0),13))</f>
        <v>7</v>
      </c>
      <c r="K42" s="230">
        <f>IF(ISBLANK($A42),"",SUM(I42:I44))</f>
        <v>420</v>
      </c>
      <c r="L42" s="230">
        <f>IF(ISBLANK($A42),"",SUM(J42:J44))</f>
        <v>17.5</v>
      </c>
      <c r="M42" s="221">
        <f>IF(ISBLANK($A42),"",RANK(L42,L:L,1))</f>
        <v>13</v>
      </c>
      <c r="N42" s="224">
        <f>IF(ISBLANK($A42),"",SUM(F42,K42))</f>
        <v>420</v>
      </c>
      <c r="O42" s="218">
        <f>IF(ISBLANK($A42),"",SUM(G42,L42))</f>
        <v>39</v>
      </c>
      <c r="P42" s="221">
        <f>IF(N42="","",RANK(O42,O:O,1))</f>
        <v>16</v>
      </c>
    </row>
    <row r="43" spans="1:16" s="135" customFormat="1" ht="12.75" customHeight="1">
      <c r="A43" s="228"/>
      <c r="B43" s="145">
        <v>1129</v>
      </c>
      <c r="C43" s="137" t="str">
        <f>IF(ISBLANK($B43),"",INDEX('Výsledková listina'!PRINT_AREA,MATCH($B43,'Výsledková listina'!$E:$E,0),2))</f>
        <v>Hlína Václav</v>
      </c>
      <c r="D43" s="138">
        <f>IF(ISBLANK($B43),"",INDEX('Výsledková listina'!PRINT_AREA,MATCH($B43,'Výsledková listina'!$E:$E,0),8))</f>
        <v>0</v>
      </c>
      <c r="E43" s="139">
        <f>IF(ISBLANK($B43),"",INDEX('Výsledková listina'!PRINT_AREA,MATCH($B43,'Výsledková listina'!$E:$E,0),9))</f>
        <v>7.5</v>
      </c>
      <c r="F43" s="231"/>
      <c r="G43" s="231"/>
      <c r="H43" s="222"/>
      <c r="I43" s="138">
        <f>IF(ISBLANK($B43),"",INDEX('Výsledková listina'!PRINT_AREA,MATCH($B43,'Výsledková listina'!$E:$E,0),12))</f>
        <v>0</v>
      </c>
      <c r="J43" s="139">
        <f>IF(ISBLANK($B43),"",INDEX('Výsledková listina'!PRINT_AREA,MATCH($B43,'Výsledková listina'!$E:$E,0),13))</f>
        <v>5.5</v>
      </c>
      <c r="K43" s="231"/>
      <c r="L43" s="231"/>
      <c r="M43" s="222"/>
      <c r="N43" s="225"/>
      <c r="O43" s="219"/>
      <c r="P43" s="222"/>
    </row>
    <row r="44" spans="1:16" s="135" customFormat="1" ht="13.5" customHeight="1" thickBot="1">
      <c r="A44" s="229"/>
      <c r="B44" s="146">
        <v>1080</v>
      </c>
      <c r="C44" s="141" t="str">
        <f>IF(ISBLANK($B44),"",INDEX('Výsledková listina'!PRINT_AREA,MATCH($B44,'Výsledková listina'!$E:$E,0),2))</f>
        <v>Pavelka Viktor</v>
      </c>
      <c r="D44" s="142">
        <f>IF(ISBLANK($B44),"",INDEX('Výsledková listina'!PRINT_AREA,MATCH($B44,'Výsledková listina'!$E:$E,0),8))</f>
        <v>0</v>
      </c>
      <c r="E44" s="143">
        <f>IF(ISBLANK($B44),"",INDEX('Výsledková listina'!PRINT_AREA,MATCH($B44,'Výsledková listina'!$E:$E,0),9))</f>
        <v>7</v>
      </c>
      <c r="F44" s="232"/>
      <c r="G44" s="232"/>
      <c r="H44" s="234"/>
      <c r="I44" s="142">
        <f>IF(ISBLANK($B44),"",INDEX('Výsledková listina'!PRINT_AREA,MATCH($B44,'Výsledková listina'!$E:$E,0),12))</f>
        <v>420</v>
      </c>
      <c r="J44" s="143">
        <f>IF(ISBLANK($B44),"",INDEX('Výsledková listina'!PRINT_AREA,MATCH($B44,'Výsledková listina'!$E:$E,0),13))</f>
        <v>5</v>
      </c>
      <c r="K44" s="232"/>
      <c r="L44" s="232"/>
      <c r="M44" s="223"/>
      <c r="N44" s="226"/>
      <c r="O44" s="220"/>
      <c r="P44" s="223"/>
    </row>
    <row r="45" spans="1:16" s="135" customFormat="1" ht="12.75" customHeight="1">
      <c r="A45" s="227" t="s">
        <v>139</v>
      </c>
      <c r="B45" s="144">
        <v>99</v>
      </c>
      <c r="C45" s="132" t="str">
        <f>IF(ISBLANK($B45),"",INDEX('Výsledková listina'!PRINT_AREA,MATCH($B45,'Výsledková listina'!$E:$E,0),2))</f>
        <v>Tůma David</v>
      </c>
      <c r="D45" s="133">
        <f>IF(ISBLANK($B45),"",INDEX('Výsledková listina'!PRINT_AREA,MATCH($B45,'Výsledková listina'!$E:$E,0),8))</f>
        <v>20</v>
      </c>
      <c r="E45" s="134">
        <f>IF(ISBLANK($B45),"",INDEX('Výsledková listina'!PRINT_AREA,MATCH($B45,'Výsledková listina'!$E:$E,0),9))</f>
        <v>4</v>
      </c>
      <c r="F45" s="230">
        <f>IF(ISBLANK($A45),"",SUM(D45:D47))</f>
        <v>20</v>
      </c>
      <c r="G45" s="230">
        <f>IF(ISBLANK($A45),"",SUM(E45:E47))</f>
        <v>19.5</v>
      </c>
      <c r="H45" s="233">
        <f>IF(ISBLANK($A45),"",RANK(G45,G:G,1))</f>
        <v>12</v>
      </c>
      <c r="I45" s="133">
        <f>IF(ISBLANK($B45),"",INDEX('Výsledková listina'!PRINT_AREA,MATCH($B45,'Výsledková listina'!$E:$E,0),12))</f>
        <v>0</v>
      </c>
      <c r="J45" s="134">
        <f>IF(ISBLANK($B45),"",INDEX('Výsledková listina'!PRINT_AREA,MATCH($B45,'Výsledková listina'!$E:$E,0),13))</f>
        <v>6</v>
      </c>
      <c r="K45" s="230">
        <f>IF(ISBLANK($A45),"",SUM(I45:I47))</f>
        <v>60</v>
      </c>
      <c r="L45" s="230">
        <f>IF(ISBLANK($A45),"",SUM(J45:J47))</f>
        <v>15.5</v>
      </c>
      <c r="M45" s="221">
        <f>IF(ISBLANK($A45),"",RANK(L45,L:L,1))</f>
        <v>10</v>
      </c>
      <c r="N45" s="224">
        <f>IF(ISBLANK($A45),"",SUM(F45,K45))</f>
        <v>80</v>
      </c>
      <c r="O45" s="218">
        <f>IF(ISBLANK($A45),"",SUM(G45,L45))</f>
        <v>35</v>
      </c>
      <c r="P45" s="221">
        <f>IF(N45="","",RANK(O45,O:O,1))</f>
        <v>14</v>
      </c>
    </row>
    <row r="46" spans="1:16" s="135" customFormat="1" ht="12.75" customHeight="1">
      <c r="A46" s="228"/>
      <c r="B46" s="145">
        <v>234</v>
      </c>
      <c r="C46" s="137" t="str">
        <f>IF(ISBLANK($B46),"",INDEX('Výsledková listina'!PRINT_AREA,MATCH($B46,'Výsledková listina'!$E:$E,0),2))</f>
        <v>Kodýdek Jiří</v>
      </c>
      <c r="D46" s="138">
        <f>IF(ISBLANK($B46),"",INDEX('Výsledková listina'!PRINT_AREA,MATCH($B46,'Výsledková listina'!$E:$E,0),8))</f>
        <v>0</v>
      </c>
      <c r="E46" s="139">
        <f>IF(ISBLANK($B46),"",INDEX('Výsledková listina'!PRINT_AREA,MATCH($B46,'Výsledková listina'!$E:$E,0),9))</f>
        <v>7</v>
      </c>
      <c r="F46" s="231"/>
      <c r="G46" s="231"/>
      <c r="H46" s="222"/>
      <c r="I46" s="138">
        <f>IF(ISBLANK($B46),"",INDEX('Výsledková listina'!PRINT_AREA,MATCH($B46,'Výsledková listina'!$E:$E,0),12))</f>
        <v>60</v>
      </c>
      <c r="J46" s="139">
        <f>IF(ISBLANK($B46),"",INDEX('Výsledková listina'!PRINT_AREA,MATCH($B46,'Výsledková listina'!$E:$E,0),13))</f>
        <v>4</v>
      </c>
      <c r="K46" s="231"/>
      <c r="L46" s="231"/>
      <c r="M46" s="222"/>
      <c r="N46" s="225"/>
      <c r="O46" s="219"/>
      <c r="P46" s="222"/>
    </row>
    <row r="47" spans="1:16" s="135" customFormat="1" ht="13.5" customHeight="1" thickBot="1">
      <c r="A47" s="229"/>
      <c r="B47" s="146">
        <v>2123</v>
      </c>
      <c r="C47" s="141" t="str">
        <f>IF(ISBLANK($B47),"",INDEX('Výsledková listina'!PRINT_AREA,MATCH($B47,'Výsledková listina'!$E:$E,0),2))</f>
        <v>Jurka Jiří</v>
      </c>
      <c r="D47" s="142">
        <f>IF(ISBLANK($B47),"",INDEX('Výsledková listina'!PRINT_AREA,MATCH($B47,'Výsledková listina'!$E:$E,0),8))</f>
        <v>0</v>
      </c>
      <c r="E47" s="143">
        <f>IF(ISBLANK($B47),"",INDEX('Výsledková listina'!PRINT_AREA,MATCH($B47,'Výsledková listina'!$E:$E,0),9))</f>
        <v>8.5</v>
      </c>
      <c r="F47" s="232"/>
      <c r="G47" s="232"/>
      <c r="H47" s="234"/>
      <c r="I47" s="142">
        <f>IF(ISBLANK($B47),"",INDEX('Výsledková listina'!PRINT_AREA,MATCH($B47,'Výsledková listina'!$E:$E,0),12))</f>
        <v>0</v>
      </c>
      <c r="J47" s="143">
        <f>IF(ISBLANK($B47),"",INDEX('Výsledková listina'!PRINT_AREA,MATCH($B47,'Výsledková listina'!$E:$E,0),13))</f>
        <v>5.5</v>
      </c>
      <c r="K47" s="232"/>
      <c r="L47" s="232"/>
      <c r="M47" s="223"/>
      <c r="N47" s="226"/>
      <c r="O47" s="220"/>
      <c r="P47" s="223"/>
    </row>
    <row r="48" spans="1:16" s="135" customFormat="1" ht="12.75" customHeight="1">
      <c r="A48" s="227" t="s">
        <v>145</v>
      </c>
      <c r="B48" s="144">
        <v>345</v>
      </c>
      <c r="C48" s="132" t="str">
        <f>IF(ISBLANK($B48),"",INDEX('Výsledková listina'!PRINT_AREA,MATCH($B48,'Výsledková listina'!$E:$E,0),2))</f>
        <v>Dušánek Bohuslav</v>
      </c>
      <c r="D48" s="133">
        <f>IF(ISBLANK($B48),"",INDEX('Výsledková listina'!PRINT_AREA,MATCH($B48,'Výsledková listina'!$E:$E,0),8))</f>
        <v>0</v>
      </c>
      <c r="E48" s="134">
        <f>IF(ISBLANK($B48),"",INDEX('Výsledková listina'!PRINT_AREA,MATCH($B48,'Výsledková listina'!$E:$E,0),9))</f>
        <v>7</v>
      </c>
      <c r="F48" s="230">
        <f>IF(ISBLANK($A48),"",SUM(D48:D50))</f>
        <v>0</v>
      </c>
      <c r="G48" s="230">
        <f>IF(ISBLANK($A48),"",SUM(E48:E50))</f>
        <v>22</v>
      </c>
      <c r="H48" s="233">
        <f>IF(ISBLANK($A48),"",RANK(G48,G:G,1))</f>
        <v>16</v>
      </c>
      <c r="I48" s="133">
        <f>IF(ISBLANK($B48),"",INDEX('Výsledková listina'!PRINT_AREA,MATCH($B48,'Výsledková listina'!$E:$E,0),12))</f>
        <v>0</v>
      </c>
      <c r="J48" s="134">
        <f>IF(ISBLANK($B48),"",INDEX('Výsledková listina'!PRINT_AREA,MATCH($B48,'Výsledková listina'!$E:$E,0),13))</f>
        <v>8</v>
      </c>
      <c r="K48" s="230">
        <f>IF(ISBLANK($A48),"",SUM(I48:I50))</f>
        <v>0</v>
      </c>
      <c r="L48" s="230">
        <f>IF(ISBLANK($A48),"",SUM(J48:J50))</f>
        <v>22</v>
      </c>
      <c r="M48" s="221">
        <f>IF(ISBLANK($A48),"",RANK(L48,L:L,1))</f>
        <v>17</v>
      </c>
      <c r="N48" s="224">
        <f>IF(ISBLANK($A48),"",SUM(F48,K48))</f>
        <v>0</v>
      </c>
      <c r="O48" s="218">
        <f>IF(ISBLANK($A48),"",SUM(G48,L48))</f>
        <v>44</v>
      </c>
      <c r="P48" s="221">
        <f>IF(N48="","",RANK(O48,O:O,1))</f>
        <v>19</v>
      </c>
    </row>
    <row r="49" spans="1:16" s="135" customFormat="1" ht="12.75" customHeight="1">
      <c r="A49" s="228"/>
      <c r="B49" s="145">
        <v>2793</v>
      </c>
      <c r="C49" s="137" t="s">
        <v>179</v>
      </c>
      <c r="D49" s="138">
        <f>IF(ISBLANK($B49),"",INDEX('Výsledková listina'!PRINT_AREA,MATCH($B49,'Výsledková listina'!$E:$E,0),8))</f>
        <v>0</v>
      </c>
      <c r="E49" s="139">
        <f>IF(ISBLANK($B49),"",INDEX('Výsledková listina'!PRINT_AREA,MATCH($B49,'Výsledková listina'!$E:$E,0),9))</f>
        <v>7.5</v>
      </c>
      <c r="F49" s="231"/>
      <c r="G49" s="231"/>
      <c r="H49" s="222"/>
      <c r="I49" s="138">
        <f>IF(ISBLANK($B49),"",INDEX('Výsledková listina'!PRINT_AREA,MATCH($B49,'Výsledková listina'!$E:$E,0),12))</f>
        <v>0</v>
      </c>
      <c r="J49" s="139">
        <f>IF(ISBLANK($B49),"",INDEX('Výsledková listina'!PRINT_AREA,MATCH($B49,'Výsledková listina'!$E:$E,0),13))</f>
        <v>6</v>
      </c>
      <c r="K49" s="231"/>
      <c r="L49" s="231"/>
      <c r="M49" s="222"/>
      <c r="N49" s="225"/>
      <c r="O49" s="219"/>
      <c r="P49" s="222"/>
    </row>
    <row r="50" spans="1:16" s="135" customFormat="1" ht="13.5" customHeight="1" thickBot="1">
      <c r="A50" s="229"/>
      <c r="B50" s="146">
        <v>3071</v>
      </c>
      <c r="C50" s="141" t="str">
        <f>IF(ISBLANK($B50),"",INDEX('Výsledková listina'!PRINT_AREA,MATCH($B50,'Výsledková listina'!$E:$E,0),2))</f>
        <v>Kadlec Tomáš</v>
      </c>
      <c r="D50" s="142">
        <f>IF(ISBLANK($B50),"",INDEX('Výsledková listina'!PRINT_AREA,MATCH($B50,'Výsledková listina'!$E:$E,0),8))</f>
        <v>0</v>
      </c>
      <c r="E50" s="143">
        <f>IF(ISBLANK($B50),"",INDEX('Výsledková listina'!PRINT_AREA,MATCH($B50,'Výsledková listina'!$E:$E,0),9))</f>
        <v>7.5</v>
      </c>
      <c r="F50" s="232"/>
      <c r="G50" s="232"/>
      <c r="H50" s="234"/>
      <c r="I50" s="142">
        <f>IF(ISBLANK($B50),"",INDEX('Výsledková listina'!PRINT_AREA,MATCH($B50,'Výsledková listina'!$E:$E,0),12))</f>
        <v>0</v>
      </c>
      <c r="J50" s="143">
        <f>IF(ISBLANK($B50),"",INDEX('Výsledková listina'!PRINT_AREA,MATCH($B50,'Výsledková listina'!$E:$E,0),13))</f>
        <v>8</v>
      </c>
      <c r="K50" s="232"/>
      <c r="L50" s="232"/>
      <c r="M50" s="223"/>
      <c r="N50" s="226"/>
      <c r="O50" s="220"/>
      <c r="P50" s="223"/>
    </row>
    <row r="51" spans="1:16" s="135" customFormat="1" ht="12.75" customHeight="1">
      <c r="A51" s="227" t="s">
        <v>155</v>
      </c>
      <c r="B51" s="144">
        <v>2373</v>
      </c>
      <c r="C51" s="132" t="str">
        <f>IF(ISBLANK($B51),"",INDEX('Výsledková listina'!PRINT_AREA,MATCH($B51,'Výsledková listina'!$E:$E,0),2))</f>
        <v>Havlíček Petr</v>
      </c>
      <c r="D51" s="133">
        <f>IF(ISBLANK($B51),"",INDEX('Výsledková listina'!PRINT_AREA,MATCH($B51,'Výsledková listina'!$E:$E,0),8))</f>
        <v>0</v>
      </c>
      <c r="E51" s="134">
        <f>IF(ISBLANK($B51),"",INDEX('Výsledková listina'!PRINT_AREA,MATCH($B51,'Výsledková listina'!$E:$E,0),9))</f>
        <v>7.5</v>
      </c>
      <c r="F51" s="230">
        <f>IF(ISBLANK($A51),"",SUM(D51:D53))</f>
        <v>2340</v>
      </c>
      <c r="G51" s="230">
        <f>IF(ISBLANK($A51),"",SUM(E51:E53))</f>
        <v>15.5</v>
      </c>
      <c r="H51" s="233">
        <f>IF(ISBLANK($A51),"",RANK(G51,G:G,1))</f>
        <v>8</v>
      </c>
      <c r="I51" s="133">
        <f>IF(ISBLANK($B51),"",INDEX('Výsledková listina'!PRINT_AREA,MATCH($B51,'Výsledková listina'!$E:$E,0),12))</f>
        <v>120</v>
      </c>
      <c r="J51" s="134">
        <f>IF(ISBLANK($B51),"",INDEX('Výsledková listina'!PRINT_AREA,MATCH($B51,'Výsledková listina'!$E:$E,0),13))</f>
        <v>3</v>
      </c>
      <c r="K51" s="230">
        <f>IF(ISBLANK($A51),"",SUM(I51:I53))</f>
        <v>120</v>
      </c>
      <c r="L51" s="230">
        <f>IF(ISBLANK($A51),"",SUM(J51:J53))</f>
        <v>15.5</v>
      </c>
      <c r="M51" s="221">
        <f>IF(ISBLANK($A51),"",RANK(L51,L:L,1))</f>
        <v>10</v>
      </c>
      <c r="N51" s="224">
        <f>IF(ISBLANK($A51),"",SUM(F51,K51))</f>
        <v>2460</v>
      </c>
      <c r="O51" s="218">
        <f>IF(ISBLANK($A51),"",SUM(G51,L51))</f>
        <v>31</v>
      </c>
      <c r="P51" s="221">
        <f>IF(N51="","",RANK(O51,O:O,1))</f>
        <v>8</v>
      </c>
    </row>
    <row r="52" spans="1:16" s="135" customFormat="1" ht="12.75" customHeight="1">
      <c r="A52" s="228"/>
      <c r="B52" s="145">
        <v>2492</v>
      </c>
      <c r="C52" s="137" t="str">
        <f>IF(ISBLANK($B52),"",INDEX('Výsledková listina'!PRINT_AREA,MATCH($B52,'Výsledková listina'!$E:$E,0),2))</f>
        <v>Funda Petr</v>
      </c>
      <c r="D52" s="138">
        <f>IF(ISBLANK($B52),"",INDEX('Výsledková listina'!PRINT_AREA,MATCH($B52,'Výsledková listina'!$E:$E,0),8))</f>
        <v>2340</v>
      </c>
      <c r="E52" s="139">
        <f>IF(ISBLANK($B52),"",INDEX('Výsledková listina'!PRINT_AREA,MATCH($B52,'Výsledková listina'!$E:$E,0),9))</f>
        <v>1</v>
      </c>
      <c r="F52" s="231"/>
      <c r="G52" s="231"/>
      <c r="H52" s="222"/>
      <c r="I52" s="138">
        <f>IF(ISBLANK($B52),"",INDEX('Výsledková listina'!PRINT_AREA,MATCH($B52,'Výsledková listina'!$E:$E,0),12))</f>
        <v>0</v>
      </c>
      <c r="J52" s="139">
        <f>IF(ISBLANK($B52),"",INDEX('Výsledková listina'!PRINT_AREA,MATCH($B52,'Výsledková listina'!$E:$E,0),13))</f>
        <v>7</v>
      </c>
      <c r="K52" s="231"/>
      <c r="L52" s="231"/>
      <c r="M52" s="222"/>
      <c r="N52" s="225"/>
      <c r="O52" s="219"/>
      <c r="P52" s="222"/>
    </row>
    <row r="53" spans="1:16" s="135" customFormat="1" ht="13.5" customHeight="1" thickBot="1">
      <c r="A53" s="229"/>
      <c r="B53" s="140">
        <v>1863</v>
      </c>
      <c r="C53" s="150" t="str">
        <f>IF(ISBLANK($B53),"",INDEX('Výsledková listina'!PRINT_AREA,MATCH($B53,'Výsledková listina'!$E:$E,0),2))</f>
        <v>Novák Jan</v>
      </c>
      <c r="D53" s="151">
        <f>IF(ISBLANK($B53),"",INDEX('Výsledková listina'!PRINT_AREA,MATCH($B53,'Výsledková listina'!$E:$E,0),8))</f>
        <v>0</v>
      </c>
      <c r="E53" s="152">
        <f>IF(ISBLANK($B53),"",INDEX('Výsledková listina'!PRINT_AREA,MATCH($B53,'Výsledková listina'!$E:$E,0),9))</f>
        <v>7</v>
      </c>
      <c r="F53" s="232"/>
      <c r="G53" s="232"/>
      <c r="H53" s="234"/>
      <c r="I53" s="153">
        <f>IF(ISBLANK($B53),"",INDEX('Výsledková listina'!PRINT_AREA,MATCH($B53,'Výsledková listina'!$E:$E,0),12))</f>
        <v>0</v>
      </c>
      <c r="J53" s="154">
        <f>IF(ISBLANK($B53),"",INDEX('Výsledková listina'!PRINT_AREA,MATCH($B53,'Výsledková listina'!$E:$E,0),13))</f>
        <v>5.5</v>
      </c>
      <c r="K53" s="232"/>
      <c r="L53" s="232"/>
      <c r="M53" s="223"/>
      <c r="N53" s="226"/>
      <c r="O53" s="220"/>
      <c r="P53" s="223"/>
    </row>
    <row r="54" spans="1:16" s="135" customFormat="1" ht="12.75">
      <c r="A54" s="227" t="s">
        <v>156</v>
      </c>
      <c r="B54" s="144">
        <v>2500</v>
      </c>
      <c r="C54" s="132" t="str">
        <f>IF(ISBLANK($B54),"",INDEX('Výsledková listina'!PRINT_AREA,MATCH($B54,'Výsledková listina'!$E:$E,0),2))</f>
        <v>Zdvořáček David</v>
      </c>
      <c r="D54" s="133">
        <f>IF(ISBLANK($B54),"",INDEX('Výsledková listina'!PRINT_AREA,MATCH($B54,'Výsledková listina'!$E:$E,0),8))</f>
        <v>0</v>
      </c>
      <c r="E54" s="134">
        <f>IF(ISBLANK($B54),"",INDEX('Výsledková listina'!PRINT_AREA,MATCH($B54,'Výsledková listina'!$E:$E,0),9))</f>
        <v>7</v>
      </c>
      <c r="F54" s="230">
        <f>IF(ISBLANK($A54),"",SUM(D54:D56))</f>
        <v>360</v>
      </c>
      <c r="G54" s="230">
        <f>IF(ISBLANK($A54),"",SUM(E54:E56))</f>
        <v>16</v>
      </c>
      <c r="H54" s="233">
        <f>IF(ISBLANK($A54),"",RANK(G54,G:G,1))</f>
        <v>9</v>
      </c>
      <c r="I54" s="133">
        <f>IF(ISBLANK($B54),"",INDEX('Výsledková listina'!PRINT_AREA,MATCH($B54,'Výsledková listina'!$E:$E,0),12))</f>
        <v>240</v>
      </c>
      <c r="J54" s="134">
        <f>IF(ISBLANK($B54),"",INDEX('Výsledková listina'!PRINT_AREA,MATCH($B54,'Výsledková listina'!$E:$E,0),13))</f>
        <v>1</v>
      </c>
      <c r="K54" s="230">
        <f>IF(ISBLANK($A54),"",SUM(I54:I56))</f>
        <v>240</v>
      </c>
      <c r="L54" s="230">
        <f>IF(ISBLANK($A54),"",SUM(J54:J56))</f>
        <v>14.5</v>
      </c>
      <c r="M54" s="221">
        <f>IF(ISBLANK($A54),"",RANK(L54,L:L,1))</f>
        <v>7</v>
      </c>
      <c r="N54" s="224">
        <f>IF(ISBLANK($A54),"",SUM(F54,K54))</f>
        <v>600</v>
      </c>
      <c r="O54" s="218">
        <f>IF(ISBLANK($A54),"",SUM(G54,L54))</f>
        <v>30.5</v>
      </c>
      <c r="P54" s="221">
        <f>IF(N54="","",RANK(O54,O:O,1))</f>
        <v>7</v>
      </c>
    </row>
    <row r="55" spans="1:16" s="135" customFormat="1" ht="12.75">
      <c r="A55" s="228"/>
      <c r="B55" s="145">
        <v>2273</v>
      </c>
      <c r="C55" s="137" t="str">
        <f>IF(ISBLANK($B55),"",INDEX('Výsledková listina'!PRINT_AREA,MATCH($B55,'Výsledková listina'!$E:$E,0),2))</f>
        <v>Bruner Václav</v>
      </c>
      <c r="D55" s="138">
        <f>IF(ISBLANK($B55),"",INDEX('Výsledková listina'!PRINT_AREA,MATCH($B55,'Výsledková listina'!$E:$E,0),8))</f>
        <v>180</v>
      </c>
      <c r="E55" s="139">
        <f>IF(ISBLANK($B55),"",INDEX('Výsledková listina'!PRINT_AREA,MATCH($B55,'Výsledková listina'!$E:$E,0),9))</f>
        <v>6</v>
      </c>
      <c r="F55" s="231"/>
      <c r="G55" s="231"/>
      <c r="H55" s="222"/>
      <c r="I55" s="138">
        <f>IF(ISBLANK($B55),"",INDEX('Výsledková listina'!PRINT_AREA,MATCH($B55,'Výsledková listina'!$E:$E,0),12))</f>
        <v>0</v>
      </c>
      <c r="J55" s="139">
        <f>IF(ISBLANK($B55),"",INDEX('Výsledková listina'!PRINT_AREA,MATCH($B55,'Výsledková listina'!$E:$E,0),13))</f>
        <v>5.5</v>
      </c>
      <c r="K55" s="231"/>
      <c r="L55" s="231"/>
      <c r="M55" s="222"/>
      <c r="N55" s="225"/>
      <c r="O55" s="219"/>
      <c r="P55" s="222"/>
    </row>
    <row r="56" spans="1:16" s="135" customFormat="1" ht="13.5" thickBot="1">
      <c r="A56" s="229"/>
      <c r="B56" s="140">
        <v>16</v>
      </c>
      <c r="C56" s="150" t="str">
        <f>IF(ISBLANK($B56),"",INDEX('Výsledková listina'!PRINT_AREA,MATCH($B56,'Výsledková listina'!$E:$E,0),2))</f>
        <v>Skála Petr</v>
      </c>
      <c r="D56" s="151">
        <f>IF(ISBLANK($B56),"",INDEX('Výsledková listina'!PRINT_AREA,MATCH($B56,'Výsledková listina'!$E:$E,0),8))</f>
        <v>180</v>
      </c>
      <c r="E56" s="152">
        <f>IF(ISBLANK($B56),"",INDEX('Výsledková listina'!PRINT_AREA,MATCH($B56,'Výsledková listina'!$E:$E,0),9))</f>
        <v>3</v>
      </c>
      <c r="F56" s="232"/>
      <c r="G56" s="232"/>
      <c r="H56" s="234"/>
      <c r="I56" s="153">
        <f>IF(ISBLANK($B56),"",INDEX('Výsledková listina'!PRINT_AREA,MATCH($B56,'Výsledková listina'!$E:$E,0),12))</f>
        <v>0</v>
      </c>
      <c r="J56" s="154">
        <f>IF(ISBLANK($B56),"",INDEX('Výsledková listina'!PRINT_AREA,MATCH($B56,'Výsledková listina'!$E:$E,0),13))</f>
        <v>8</v>
      </c>
      <c r="K56" s="232"/>
      <c r="L56" s="232"/>
      <c r="M56" s="223"/>
      <c r="N56" s="226"/>
      <c r="O56" s="220"/>
      <c r="P56" s="223"/>
    </row>
    <row r="57" spans="1:16" s="135" customFormat="1" ht="12.75">
      <c r="A57" s="251" t="s">
        <v>164</v>
      </c>
      <c r="B57" s="144">
        <v>17</v>
      </c>
      <c r="C57" s="132" t="str">
        <f>IF(ISBLANK($B57),"",INDEX('Výsledková listina'!PRINT_AREA,MATCH($B57,'Výsledková listina'!$E:$E,0),2))</f>
        <v>Kuneš Luboš</v>
      </c>
      <c r="D57" s="133">
        <f>IF(ISBLANK($B57),"",INDEX('Výsledková listina'!PRINT_AREA,MATCH($B57,'Výsledková listina'!$E:$E,0),8))</f>
        <v>3460</v>
      </c>
      <c r="E57" s="134">
        <f>IF(ISBLANK($B57),"",INDEX('Výsledková listina'!PRINT_AREA,MATCH($B57,'Výsledková listina'!$E:$E,0),9))</f>
        <v>1</v>
      </c>
      <c r="F57" s="230">
        <f>IF(ISBLANK($A57),"",SUM(D57:D59))</f>
        <v>5120</v>
      </c>
      <c r="G57" s="230">
        <f>IF(ISBLANK($A57),"",SUM(E57:E59))</f>
        <v>11</v>
      </c>
      <c r="H57" s="233">
        <f>IF(ISBLANK($A57),"",RANK(G57,G:G,1))</f>
        <v>3</v>
      </c>
      <c r="I57" s="133">
        <f>IF(ISBLANK($B57),"",INDEX('Výsledková listina'!PRINT_AREA,MATCH($B57,'Výsledková listina'!$E:$E,0),12))</f>
        <v>0</v>
      </c>
      <c r="J57" s="134">
        <f>IF(ISBLANK($B57),"",INDEX('Výsledková listina'!PRINT_AREA,MATCH($B57,'Výsledková listina'!$E:$E,0),13))</f>
        <v>8</v>
      </c>
      <c r="K57" s="230">
        <f>IF(ISBLANK($A57),"",SUM(I57:I59))</f>
        <v>520</v>
      </c>
      <c r="L57" s="230">
        <f>IF(ISBLANK($A57),"",SUM(J57:J59))</f>
        <v>15</v>
      </c>
      <c r="M57" s="221">
        <f>IF(ISBLANK($A57),"",RANK(L57,L:L,1))</f>
        <v>9</v>
      </c>
      <c r="N57" s="224">
        <f>IF(ISBLANK($A57),"",SUM(F57,K57))</f>
        <v>5640</v>
      </c>
      <c r="O57" s="218">
        <f>IF(ISBLANK($A57),"",SUM(G57,L57))</f>
        <v>26</v>
      </c>
      <c r="P57" s="221">
        <f>IF(N57="","",RANK(O57,O:O,1))</f>
        <v>3</v>
      </c>
    </row>
    <row r="58" spans="1:16" s="135" customFormat="1" ht="12.75">
      <c r="A58" s="252"/>
      <c r="B58" s="145">
        <v>3124</v>
      </c>
      <c r="C58" s="137" t="s">
        <v>180</v>
      </c>
      <c r="D58" s="138">
        <f>IF(ISBLANK($B58),"",INDEX('Výsledková listina'!PRINT_AREA,MATCH($B58,'Výsledková listina'!$E:$E,0),8))</f>
        <v>1660</v>
      </c>
      <c r="E58" s="139">
        <f>IF(ISBLANK($B58),"",INDEX('Výsledková listina'!PRINT_AREA,MATCH($B58,'Výsledková listina'!$E:$E,0),9))</f>
        <v>3</v>
      </c>
      <c r="F58" s="231"/>
      <c r="G58" s="231"/>
      <c r="H58" s="222"/>
      <c r="I58" s="138">
        <f>IF(ISBLANK($B58),"",INDEX('Výsledková listina'!PRINT_AREA,MATCH($B58,'Výsledková listina'!$E:$E,0),12))</f>
        <v>0</v>
      </c>
      <c r="J58" s="139">
        <f>IF(ISBLANK($B58),"",INDEX('Výsledková listina'!PRINT_AREA,MATCH($B58,'Výsledková listina'!$E:$E,0),13))</f>
        <v>6</v>
      </c>
      <c r="K58" s="231"/>
      <c r="L58" s="231"/>
      <c r="M58" s="222"/>
      <c r="N58" s="225"/>
      <c r="O58" s="219"/>
      <c r="P58" s="222"/>
    </row>
    <row r="59" spans="1:16" s="135" customFormat="1" ht="13.5" thickBot="1">
      <c r="A59" s="253"/>
      <c r="B59" s="140">
        <v>2934</v>
      </c>
      <c r="C59" s="150" t="str">
        <f>IF(ISBLANK($B59),"",INDEX('Výsledková listina'!PRINT_AREA,MATCH($B59,'Výsledková listina'!$E:$E,0),2))</f>
        <v>Fejfar Kamil</v>
      </c>
      <c r="D59" s="151">
        <f>IF(ISBLANK($B59),"",INDEX('Výsledková listina'!PRINT_AREA,MATCH($B59,'Výsledková listina'!$E:$E,0),8))</f>
        <v>0</v>
      </c>
      <c r="E59" s="152">
        <f>IF(ISBLANK($B59),"",INDEX('Výsledková listina'!PRINT_AREA,MATCH($B59,'Výsledková listina'!$E:$E,0),9))</f>
        <v>7</v>
      </c>
      <c r="F59" s="232"/>
      <c r="G59" s="232"/>
      <c r="H59" s="234"/>
      <c r="I59" s="153">
        <f>IF(ISBLANK($B59),"",INDEX('Výsledková listina'!PRINT_AREA,MATCH($B59,'Výsledková listina'!$E:$E,0),12))</f>
        <v>520</v>
      </c>
      <c r="J59" s="154">
        <f>IF(ISBLANK($B59),"",INDEX('Výsledková listina'!PRINT_AREA,MATCH($B59,'Výsledková listina'!$E:$E,0),13))</f>
        <v>1</v>
      </c>
      <c r="K59" s="232"/>
      <c r="L59" s="232"/>
      <c r="M59" s="223"/>
      <c r="N59" s="226"/>
      <c r="O59" s="220"/>
      <c r="P59" s="223"/>
    </row>
    <row r="60" spans="1:16" s="135" customFormat="1" ht="12.75">
      <c r="A60" s="227" t="s">
        <v>175</v>
      </c>
      <c r="B60" s="144">
        <v>3052</v>
      </c>
      <c r="C60" s="132" t="str">
        <f>IF(ISBLANK($B60),"",INDEX('Výsledková listina'!PRINT_AREA,MATCH($B60,'Výsledková listina'!$E:$E,0),2))</f>
        <v>Černý Radek</v>
      </c>
      <c r="D60" s="133">
        <f>IF(ISBLANK($B60),"",INDEX('Výsledková listina'!PRINT_AREA,MATCH($B60,'Výsledková listina'!$E:$E,0),8))</f>
        <v>0</v>
      </c>
      <c r="E60" s="134">
        <f>IF(ISBLANK($B60),"",INDEX('Výsledková listina'!PRINT_AREA,MATCH($B60,'Výsledková listina'!$E:$E,0),9))</f>
        <v>8.5</v>
      </c>
      <c r="F60" s="230">
        <f>IF(ISBLANK($A60),"",SUM(D60:D62))</f>
        <v>0</v>
      </c>
      <c r="G60" s="230">
        <f>IF(ISBLANK($A60),"",SUM(E60:E62))</f>
        <v>22.5</v>
      </c>
      <c r="H60" s="233">
        <f>IF(ISBLANK($A60),"",RANK(G60,G:G,1))</f>
        <v>19</v>
      </c>
      <c r="I60" s="133">
        <f>IF(ISBLANK($B60),"",INDEX('Výsledková listina'!PRINT_AREA,MATCH($B60,'Výsledková listina'!$E:$E,0),12))</f>
        <v>0</v>
      </c>
      <c r="J60" s="134">
        <f>IF(ISBLANK($B60),"",INDEX('Výsledková listina'!PRINT_AREA,MATCH($B60,'Výsledková listina'!$E:$E,0),13))</f>
        <v>7</v>
      </c>
      <c r="K60" s="230">
        <f>IF(ISBLANK($A60),"",SUM(I60:I62))</f>
        <v>0</v>
      </c>
      <c r="L60" s="230">
        <f>IF(ISBLANK($A60),"",SUM(J60:J62))</f>
        <v>21</v>
      </c>
      <c r="M60" s="221">
        <f>IF(ISBLANK($A60),"",RANK(L60,L:L,1))</f>
        <v>16</v>
      </c>
      <c r="N60" s="224">
        <f>IF(ISBLANK($A60),"",SUM(F60,K60))</f>
        <v>0</v>
      </c>
      <c r="O60" s="218">
        <f>IF(ISBLANK($A60),"",SUM(G60,L60))</f>
        <v>43.5</v>
      </c>
      <c r="P60" s="221">
        <f>IF(N60="","",RANK(O60,O:O,1))</f>
        <v>18</v>
      </c>
    </row>
    <row r="61" spans="1:16" s="135" customFormat="1" ht="12.75">
      <c r="A61" s="228"/>
      <c r="B61" s="145">
        <v>3057</v>
      </c>
      <c r="C61" s="137" t="str">
        <f>IF(ISBLANK($B61),"",INDEX('Výsledková listina'!PRINT_AREA,MATCH($B61,'Výsledková listina'!$E:$E,0),2))</f>
        <v>Ševčík Ladislav</v>
      </c>
      <c r="D61" s="138">
        <f>IF(ISBLANK($B61),"",INDEX('Výsledková listina'!PRINT_AREA,MATCH($B61,'Výsledková listina'!$E:$E,0),8))</f>
        <v>0</v>
      </c>
      <c r="E61" s="139">
        <f>IF(ISBLANK($B61),"",INDEX('Výsledková listina'!PRINT_AREA,MATCH($B61,'Výsledková listina'!$E:$E,0),9))</f>
        <v>7</v>
      </c>
      <c r="F61" s="231"/>
      <c r="G61" s="231"/>
      <c r="H61" s="222"/>
      <c r="I61" s="138">
        <f>IF(ISBLANK($B61),"",INDEX('Výsledková listina'!PRINT_AREA,MATCH($B61,'Výsledková listina'!$E:$E,0),12))</f>
        <v>0</v>
      </c>
      <c r="J61" s="139">
        <f>IF(ISBLANK($B61),"",INDEX('Výsledková listina'!PRINT_AREA,MATCH($B61,'Výsledková listina'!$E:$E,0),13))</f>
        <v>5.5</v>
      </c>
      <c r="K61" s="231"/>
      <c r="L61" s="231"/>
      <c r="M61" s="222"/>
      <c r="N61" s="225"/>
      <c r="O61" s="219"/>
      <c r="P61" s="222"/>
    </row>
    <row r="62" spans="1:16" s="135" customFormat="1" ht="13.5" thickBot="1">
      <c r="A62" s="229"/>
      <c r="B62" s="140">
        <v>3055</v>
      </c>
      <c r="C62" s="150" t="str">
        <f>IF(ISBLANK($B62),"",INDEX('Výsledková listina'!PRINT_AREA,MATCH($B62,'Výsledková listina'!$E:$E,0),2))</f>
        <v>Oliva Vladimír</v>
      </c>
      <c r="D62" s="151">
        <f>IF(ISBLANK($B62),"",INDEX('Výsledková listina'!PRINT_AREA,MATCH($B62,'Výsledková listina'!$E:$E,0),8))</f>
        <v>0</v>
      </c>
      <c r="E62" s="152">
        <f>IF(ISBLANK($B62),"",INDEX('Výsledková listina'!PRINT_AREA,MATCH($B62,'Výsledková listina'!$E:$E,0),9))</f>
        <v>7</v>
      </c>
      <c r="F62" s="232"/>
      <c r="G62" s="232"/>
      <c r="H62" s="234"/>
      <c r="I62" s="153">
        <f>IF(ISBLANK($B62),"",INDEX('Výsledková listina'!PRINT_AREA,MATCH($B62,'Výsledková listina'!$E:$E,0),12))</f>
        <v>0</v>
      </c>
      <c r="J62" s="154">
        <f>IF(ISBLANK($B62),"",INDEX('Výsledková listina'!PRINT_AREA,MATCH($B62,'Výsledková listina'!$E:$E,0),13))</f>
        <v>8.5</v>
      </c>
      <c r="K62" s="232"/>
      <c r="L62" s="232"/>
      <c r="M62" s="223"/>
      <c r="N62" s="226"/>
      <c r="O62" s="220"/>
      <c r="P62" s="223"/>
    </row>
    <row r="63" spans="1:16" s="135" customFormat="1" ht="12.75">
      <c r="A63" s="227" t="s">
        <v>172</v>
      </c>
      <c r="B63" s="144">
        <v>3082</v>
      </c>
      <c r="C63" s="132" t="str">
        <f>IF(ISBLANK($B63),"",INDEX('Výsledková listina'!PRINT_AREA,MATCH($B63,'Výsledková listina'!$E:$E,0),2))</f>
        <v>Nocar Pavel</v>
      </c>
      <c r="D63" s="133">
        <f>IF(ISBLANK($B63),"",INDEX('Výsledková listina'!PRINT_AREA,MATCH($B63,'Výsledková listina'!$E:$E,0),8))</f>
        <v>0</v>
      </c>
      <c r="E63" s="134">
        <f>IF(ISBLANK($B63),"",INDEX('Výsledková listina'!PRINT_AREA,MATCH($B63,'Výsledková listina'!$E:$E,0),9))</f>
        <v>8.5</v>
      </c>
      <c r="F63" s="230">
        <f>IF(ISBLANK($A63),"",SUM(D63:D65))</f>
        <v>0</v>
      </c>
      <c r="G63" s="230">
        <f>IF(ISBLANK($A63),"",SUM(E63:E65))</f>
        <v>22.5</v>
      </c>
      <c r="H63" s="233">
        <f>IF(ISBLANK($A63),"",RANK(G63,G:G,1))</f>
        <v>19</v>
      </c>
      <c r="I63" s="133">
        <f>IF(ISBLANK($B63),"",INDEX('Výsledková listina'!PRINT_AREA,MATCH($B63,'Výsledková listina'!$E:$E,0),12))</f>
        <v>100</v>
      </c>
      <c r="J63" s="134">
        <f>IF(ISBLANK($B63),"",INDEX('Výsledková listina'!PRINT_AREA,MATCH($B63,'Výsledková listina'!$E:$E,0),13))</f>
        <v>2</v>
      </c>
      <c r="K63" s="230">
        <f>IF(ISBLANK($A63),"",SUM(I63:I65))</f>
        <v>420</v>
      </c>
      <c r="L63" s="230">
        <f>IF(ISBLANK($A63),"",SUM(J63:J65))</f>
        <v>10</v>
      </c>
      <c r="M63" s="221">
        <f>IF(ISBLANK($A63),"",RANK(L63,L:L,1))</f>
        <v>1</v>
      </c>
      <c r="N63" s="224">
        <f>IF(ISBLANK($A63),"",SUM(F63,K63))</f>
        <v>420</v>
      </c>
      <c r="O63" s="218">
        <f>IF(ISBLANK($A63),"",SUM(G63,L63))</f>
        <v>32.5</v>
      </c>
      <c r="P63" s="221">
        <f>IF(N63="","",RANK(O63,O:O,1))</f>
        <v>11</v>
      </c>
    </row>
    <row r="64" spans="1:16" s="135" customFormat="1" ht="12.75">
      <c r="A64" s="228"/>
      <c r="B64" s="145">
        <v>2637</v>
      </c>
      <c r="C64" s="137" t="str">
        <f>IF(ISBLANK($B64),"",INDEX('Výsledková listina'!PRINT_AREA,MATCH($B64,'Výsledková listina'!$E:$E,0),2))</f>
        <v>Krýsl Pavel</v>
      </c>
      <c r="D64" s="138">
        <f>IF(ISBLANK($B64),"",INDEX('Výsledková listina'!PRINT_AREA,MATCH($B64,'Výsledková listina'!$E:$E,0),8))</f>
        <v>0</v>
      </c>
      <c r="E64" s="139">
        <f>IF(ISBLANK($B64),"",INDEX('Výsledková listina'!PRINT_AREA,MATCH($B64,'Výsledková listina'!$E:$E,0),9))</f>
        <v>7</v>
      </c>
      <c r="F64" s="231"/>
      <c r="G64" s="231"/>
      <c r="H64" s="222"/>
      <c r="I64" s="138">
        <f>IF(ISBLANK($B64),"",INDEX('Výsledková listina'!PRINT_AREA,MATCH($B64,'Výsledková listina'!$E:$E,0),12))</f>
        <v>40</v>
      </c>
      <c r="J64" s="139">
        <f>IF(ISBLANK($B64),"",INDEX('Výsledková listina'!PRINT_AREA,MATCH($B64,'Výsledková listina'!$E:$E,0),13))</f>
        <v>5</v>
      </c>
      <c r="K64" s="231"/>
      <c r="L64" s="231"/>
      <c r="M64" s="222"/>
      <c r="N64" s="225"/>
      <c r="O64" s="219"/>
      <c r="P64" s="222"/>
    </row>
    <row r="65" spans="1:16" s="135" customFormat="1" ht="13.5" thickBot="1">
      <c r="A65" s="229"/>
      <c r="B65" s="140">
        <v>2646</v>
      </c>
      <c r="C65" s="150" t="str">
        <f>IF(ISBLANK($B65),"",INDEX('Výsledková listina'!PRINT_AREA,MATCH($B65,'Výsledková listina'!$E:$E,0),2))</f>
        <v>Soukup Michal</v>
      </c>
      <c r="D65" s="151">
        <f>IF(ISBLANK($B65),"",INDEX('Výsledková listina'!PRINT_AREA,MATCH($B65,'Výsledková listina'!$E:$E,0),8))</f>
        <v>0</v>
      </c>
      <c r="E65" s="152">
        <f>IF(ISBLANK($B65),"",INDEX('Výsledková listina'!PRINT_AREA,MATCH($B65,'Výsledková listina'!$E:$E,0),9))</f>
        <v>7</v>
      </c>
      <c r="F65" s="232"/>
      <c r="G65" s="232"/>
      <c r="H65" s="234"/>
      <c r="I65" s="153">
        <f>IF(ISBLANK($B65),"",INDEX('Výsledková listina'!PRINT_AREA,MATCH($B65,'Výsledková listina'!$E:$E,0),12))</f>
        <v>280</v>
      </c>
      <c r="J65" s="154">
        <f>IF(ISBLANK($B65),"",INDEX('Výsledková listina'!PRINT_AREA,MATCH($B65,'Výsledková listina'!$E:$E,0),13))</f>
        <v>3</v>
      </c>
      <c r="K65" s="232"/>
      <c r="L65" s="232"/>
      <c r="M65" s="223"/>
      <c r="N65" s="226"/>
      <c r="O65" s="220"/>
      <c r="P65" s="223"/>
    </row>
  </sheetData>
  <sheetProtection sort="0" autoFilter="0"/>
  <autoFilter ref="D5:P26"/>
  <mergeCells count="211">
    <mergeCell ref="O63:O65"/>
    <mergeCell ref="P63:P65"/>
    <mergeCell ref="O60:O62"/>
    <mergeCell ref="P60:P62"/>
    <mergeCell ref="A63:A65"/>
    <mergeCell ref="F63:F65"/>
    <mergeCell ref="G63:G65"/>
    <mergeCell ref="H63:H65"/>
    <mergeCell ref="K63:K65"/>
    <mergeCell ref="L63:L65"/>
    <mergeCell ref="M63:M65"/>
    <mergeCell ref="N63:N65"/>
    <mergeCell ref="O57:O59"/>
    <mergeCell ref="P57:P59"/>
    <mergeCell ref="A60:A62"/>
    <mergeCell ref="F60:F62"/>
    <mergeCell ref="G60:G62"/>
    <mergeCell ref="H60:H62"/>
    <mergeCell ref="K60:K62"/>
    <mergeCell ref="L60:L62"/>
    <mergeCell ref="M60:M62"/>
    <mergeCell ref="N60:N62"/>
    <mergeCell ref="O54:O56"/>
    <mergeCell ref="P54:P56"/>
    <mergeCell ref="A57:A59"/>
    <mergeCell ref="F57:F59"/>
    <mergeCell ref="G57:G59"/>
    <mergeCell ref="H57:H59"/>
    <mergeCell ref="K57:K59"/>
    <mergeCell ref="L57:L59"/>
    <mergeCell ref="M57:M59"/>
    <mergeCell ref="N57:N59"/>
    <mergeCell ref="K54:K56"/>
    <mergeCell ref="L54:L56"/>
    <mergeCell ref="M54:M56"/>
    <mergeCell ref="N54:N56"/>
    <mergeCell ref="A54:A56"/>
    <mergeCell ref="F54:F56"/>
    <mergeCell ref="G54:G56"/>
    <mergeCell ref="H54:H56"/>
    <mergeCell ref="G18:G20"/>
    <mergeCell ref="H18:H20"/>
    <mergeCell ref="A45:A47"/>
    <mergeCell ref="F45:F47"/>
    <mergeCell ref="G45:G47"/>
    <mergeCell ref="H45:H47"/>
    <mergeCell ref="N18:N20"/>
    <mergeCell ref="I4:J4"/>
    <mergeCell ref="K4:M4"/>
    <mergeCell ref="P18:P20"/>
    <mergeCell ref="O18:O20"/>
    <mergeCell ref="K18:K20"/>
    <mergeCell ref="L18:L20"/>
    <mergeCell ref="M18:M20"/>
    <mergeCell ref="N3:P4"/>
    <mergeCell ref="I3:M3"/>
    <mergeCell ref="A1:P1"/>
    <mergeCell ref="A3:A5"/>
    <mergeCell ref="D4:E4"/>
    <mergeCell ref="F4:H4"/>
    <mergeCell ref="D3:H3"/>
    <mergeCell ref="B3:B5"/>
    <mergeCell ref="C3:C5"/>
    <mergeCell ref="M48:M50"/>
    <mergeCell ref="N48:N50"/>
    <mergeCell ref="M24:M26"/>
    <mergeCell ref="N24:N26"/>
    <mergeCell ref="K45:K47"/>
    <mergeCell ref="L45:L47"/>
    <mergeCell ref="M45:M47"/>
    <mergeCell ref="N45:N47"/>
    <mergeCell ref="K30:K32"/>
    <mergeCell ref="L30:L32"/>
    <mergeCell ref="M30:M32"/>
    <mergeCell ref="N30:N32"/>
    <mergeCell ref="A24:A26"/>
    <mergeCell ref="F24:F26"/>
    <mergeCell ref="A30:A32"/>
    <mergeCell ref="F30:F32"/>
    <mergeCell ref="G30:G32"/>
    <mergeCell ref="H30:H32"/>
    <mergeCell ref="K6:K8"/>
    <mergeCell ref="L6:L8"/>
    <mergeCell ref="G24:G26"/>
    <mergeCell ref="H24:H26"/>
    <mergeCell ref="K24:K26"/>
    <mergeCell ref="L24:L26"/>
    <mergeCell ref="K12:K14"/>
    <mergeCell ref="L12:L14"/>
    <mergeCell ref="K15:K17"/>
    <mergeCell ref="L15:L17"/>
    <mergeCell ref="A18:A20"/>
    <mergeCell ref="F18:F20"/>
    <mergeCell ref="O6:O8"/>
    <mergeCell ref="P6:P8"/>
    <mergeCell ref="A6:A8"/>
    <mergeCell ref="F6:F8"/>
    <mergeCell ref="G6:G8"/>
    <mergeCell ref="H6:H8"/>
    <mergeCell ref="M6:M8"/>
    <mergeCell ref="N6:N8"/>
    <mergeCell ref="O33:O35"/>
    <mergeCell ref="P33:P35"/>
    <mergeCell ref="O48:O50"/>
    <mergeCell ref="P48:P50"/>
    <mergeCell ref="O45:O47"/>
    <mergeCell ref="P45:P47"/>
    <mergeCell ref="O30:O32"/>
    <mergeCell ref="P30:P32"/>
    <mergeCell ref="A9:A11"/>
    <mergeCell ref="F9:F11"/>
    <mergeCell ref="G9:G11"/>
    <mergeCell ref="H9:H11"/>
    <mergeCell ref="K9:K11"/>
    <mergeCell ref="L9:L11"/>
    <mergeCell ref="M9:M11"/>
    <mergeCell ref="N9:N11"/>
    <mergeCell ref="O9:O11"/>
    <mergeCell ref="P9:P11"/>
    <mergeCell ref="A21:A23"/>
    <mergeCell ref="F21:F23"/>
    <mergeCell ref="G21:G23"/>
    <mergeCell ref="H21:H23"/>
    <mergeCell ref="K21:K23"/>
    <mergeCell ref="L21:L23"/>
    <mergeCell ref="M21:M23"/>
    <mergeCell ref="N21:N23"/>
    <mergeCell ref="O21:O23"/>
    <mergeCell ref="P21:P23"/>
    <mergeCell ref="A27:A29"/>
    <mergeCell ref="F27:F29"/>
    <mergeCell ref="G27:G29"/>
    <mergeCell ref="H27:H29"/>
    <mergeCell ref="K27:K29"/>
    <mergeCell ref="L27:L29"/>
    <mergeCell ref="M27:M29"/>
    <mergeCell ref="N27:N29"/>
    <mergeCell ref="O27:O29"/>
    <mergeCell ref="P27:P29"/>
    <mergeCell ref="A39:A41"/>
    <mergeCell ref="F39:F41"/>
    <mergeCell ref="G39:G41"/>
    <mergeCell ref="H39:H41"/>
    <mergeCell ref="K39:K41"/>
    <mergeCell ref="L39:L41"/>
    <mergeCell ref="M39:M41"/>
    <mergeCell ref="N39:N41"/>
    <mergeCell ref="K42:K44"/>
    <mergeCell ref="L42:L44"/>
    <mergeCell ref="M42:M44"/>
    <mergeCell ref="N42:N44"/>
    <mergeCell ref="A42:A44"/>
    <mergeCell ref="F42:F44"/>
    <mergeCell ref="G42:G44"/>
    <mergeCell ref="H42:H44"/>
    <mergeCell ref="M12:M14"/>
    <mergeCell ref="N12:N14"/>
    <mergeCell ref="A12:A14"/>
    <mergeCell ref="F12:F14"/>
    <mergeCell ref="G12:G14"/>
    <mergeCell ref="H12:H14"/>
    <mergeCell ref="O12:O14"/>
    <mergeCell ref="P12:P14"/>
    <mergeCell ref="A36:A38"/>
    <mergeCell ref="F36:F38"/>
    <mergeCell ref="G36:G38"/>
    <mergeCell ref="H36:H38"/>
    <mergeCell ref="K36:K38"/>
    <mergeCell ref="L36:L38"/>
    <mergeCell ref="M36:M38"/>
    <mergeCell ref="N36:N38"/>
    <mergeCell ref="M15:M17"/>
    <mergeCell ref="N15:N17"/>
    <mergeCell ref="A15:A17"/>
    <mergeCell ref="F15:F17"/>
    <mergeCell ref="G15:G17"/>
    <mergeCell ref="H15:H17"/>
    <mergeCell ref="O15:O17"/>
    <mergeCell ref="P15:P17"/>
    <mergeCell ref="A33:A35"/>
    <mergeCell ref="F33:F35"/>
    <mergeCell ref="G33:G35"/>
    <mergeCell ref="H33:H35"/>
    <mergeCell ref="K33:K35"/>
    <mergeCell ref="L33:L35"/>
    <mergeCell ref="M33:M35"/>
    <mergeCell ref="N33:N35"/>
    <mergeCell ref="A48:A50"/>
    <mergeCell ref="F48:F50"/>
    <mergeCell ref="G48:G50"/>
    <mergeCell ref="H48:H50"/>
    <mergeCell ref="K51:K53"/>
    <mergeCell ref="L51:L53"/>
    <mergeCell ref="K48:K50"/>
    <mergeCell ref="L48:L50"/>
    <mergeCell ref="M51:M53"/>
    <mergeCell ref="N51:N53"/>
    <mergeCell ref="A51:A53"/>
    <mergeCell ref="F51:F53"/>
    <mergeCell ref="G51:G53"/>
    <mergeCell ref="H51:H53"/>
    <mergeCell ref="O51:O53"/>
    <mergeCell ref="P51:P53"/>
    <mergeCell ref="O24:O26"/>
    <mergeCell ref="P24:P26"/>
    <mergeCell ref="O36:O38"/>
    <mergeCell ref="P36:P38"/>
    <mergeCell ref="O42:O44"/>
    <mergeCell ref="P42:P44"/>
    <mergeCell ref="O39:O41"/>
    <mergeCell ref="P39:P41"/>
  </mergeCells>
  <printOptions horizontalCentered="1"/>
  <pageMargins left="0.31496062992125984" right="0.2755905511811024" top="0.5511811023622047" bottom="0.5118110236220472" header="0.35433070866141736" footer="0.31496062992125984"/>
  <pageSetup fitToHeight="2" fitToWidth="1" horizontalDpi="600" verticalDpi="600" orientation="landscape" paperSize="9" r:id="rId1"/>
  <headerFooter alignWithMargins="0">
    <oddFooter>&amp;L&amp;F &amp;A&amp;RStránka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Srb</cp:lastModifiedBy>
  <cp:lastPrinted>2010-01-20T18:16:08Z</cp:lastPrinted>
  <dcterms:created xsi:type="dcterms:W3CDTF">2001-02-19T07:45:56Z</dcterms:created>
  <dcterms:modified xsi:type="dcterms:W3CDTF">2010-05-24T20:00:35Z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-304722618</vt:i4>
  </property>
  <property fmtid="{D5CDD505-2E9C-101B-9397-08002B2CF9AE}" pid="3" name="_EmailSubject">
    <vt:lpwstr>COLMIC</vt:lpwstr>
  </property>
  <property fmtid="{D5CDD505-2E9C-101B-9397-08002B2CF9AE}" pid="4" name="_AuthorEmail">
    <vt:lpwstr>msvehla@cmail.cz</vt:lpwstr>
  </property>
  <property fmtid="{D5CDD505-2E9C-101B-9397-08002B2CF9AE}" pid="5" name="_AuthorEmailDisplayName">
    <vt:lpwstr>Michal Švehla</vt:lpwstr>
  </property>
  <property fmtid="{D5CDD505-2E9C-101B-9397-08002B2CF9AE}" pid="6" name="_PreviousAdHocReviewCycleID">
    <vt:i4>1008986697</vt:i4>
  </property>
  <property fmtid="{D5CDD505-2E9C-101B-9397-08002B2CF9AE}" pid="7" name="_ReviewingToolsShownOnce">
    <vt:lpwstr/>
  </property>
</Properties>
</file>