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5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Graf " sheetId="5" r:id="rId5"/>
    <sheet name="Závod družstev" sheetId="6" r:id="rId6"/>
  </sheets>
  <definedNames>
    <definedName name="_xlnm._FilterDatabase" localSheetId="1" hidden="1">'Výsledková listina'!$A$8:$S$68</definedName>
    <definedName name="_xlnm._FilterDatabase" localSheetId="5" hidden="1">'Závod družstev'!$D$5:$P$65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4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závod'!$A$1:$AE$13</definedName>
    <definedName name="_xlnm.Print_Area" localSheetId="3">'2. závod'!$A$1:$AE$13</definedName>
    <definedName name="_xlnm.Print_Area" localSheetId="4">'Graf '!$A$1:$AC$62</definedName>
    <definedName name="_xlnm.Print_Area" localSheetId="1">'Výsledková listina'!$A$1:$P$70</definedName>
    <definedName name="wrn.sektor1." localSheetId="3" hidden="1">{#N/A,#N/A,FALSE,"2. z?vod "}</definedName>
    <definedName name="wrn.sektor1." localSheetId="4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4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4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<sst xmlns="http://schemas.openxmlformats.org/spreadsheetml/2006/main" count="568" uniqueCount="179">
  <si>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</si>
  <si>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</si>
  <si>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</si>
  <si>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</si>
  <si>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</si>
  <si>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</si>
  <si>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</si>
  <si>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</si>
  <si>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</si>
  <si>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</si>
  <si>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</si>
  <si>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</si>
  <si>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</si>
  <si>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</si>
  <si>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</si>
  <si>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</si>
  <si>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</si>
  <si>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</si>
  <si>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</si>
  <si>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</si>
  <si>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</si>
  <si>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</si>
  <si>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</si>
  <si>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</si>
  <si>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</si>
  <si>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</si>
  <si>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</si>
  <si>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</si>
  <si>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</si>
  <si>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</si>
  <si>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</si>
  <si>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</si>
  <si>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</si>
  <si>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</si>
  <si>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</si>
  <si>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</si>
  <si>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</si>
  <si>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</si>
  <si>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</si>
  <si>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</si>
  <si>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</si>
  <si>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</si>
  <si>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</si>
  <si>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</si>
  <si>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</si>
  <si>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</si>
  <si>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</si>
  <si>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</si>
  <si>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</si>
  <si>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Los</t>
  </si>
  <si>
    <t>1.záv.</t>
  </si>
  <si>
    <t>2.záv.</t>
  </si>
  <si>
    <t>Podpis</t>
  </si>
  <si>
    <t>Reg.</t>
  </si>
  <si>
    <t>Jednotivci</t>
  </si>
  <si>
    <t>Družstva</t>
  </si>
  <si>
    <t>Družstvo</t>
  </si>
  <si>
    <t>Soutěž družstev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</si>
  <si>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</si>
  <si>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</si>
  <si>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</si>
  <si>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</si>
  <si>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</si>
  <si>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</si>
  <si>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</si>
  <si>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</si>
  <si>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</si>
  <si>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</si>
  <si>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</si>
  <si>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</si>
  <si>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</si>
  <si>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</si>
  <si>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</si>
  <si>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</si>
  <si>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</si>
  <si>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</si>
  <si>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</si>
  <si>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</si>
  <si>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</si>
  <si>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</si>
  <si>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</si>
  <si>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</si>
  <si>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</si>
  <si>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</si>
  <si>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</si>
  <si>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</si>
  <si>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</si>
  <si>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</si>
  <si>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</si>
  <si>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t>KODYJAK FEEDER TEAM</t>
  </si>
  <si>
    <t>NORMARK-Shimano Fishing Feeder Team MO Uničov</t>
  </si>
  <si>
    <t>Kukající vlci RSK FeederKlub</t>
  </si>
  <si>
    <t>Přátelé ušlechtilého rybolovu</t>
  </si>
  <si>
    <t>Azbeři</t>
  </si>
  <si>
    <t>SEMA FEEDER TEAM</t>
  </si>
  <si>
    <t>Fishing Aussie MO ČRS Olomouc</t>
  </si>
  <si>
    <t>Hardy Feeder Team</t>
  </si>
  <si>
    <t>Milo Feeder Team</t>
  </si>
  <si>
    <t>K&amp;K Sevis Feeder team RoyalBait</t>
  </si>
  <si>
    <t>RoyalBait Feeder Team</t>
  </si>
  <si>
    <t>FeederTeam Český Šternberk</t>
  </si>
  <si>
    <t>MIVARDI FEEDER TEAM</t>
  </si>
  <si>
    <t>FeederTeam MO Braník RoyalBait</t>
  </si>
  <si>
    <t>ÚSMP Feeder Team - FAPS</t>
  </si>
  <si>
    <t>Feeder team Ostrá Plzeň</t>
  </si>
  <si>
    <t>F-1 Karlovy Vary Mivardi - Würth</t>
  </si>
  <si>
    <t>Kaprňak feeder team</t>
  </si>
  <si>
    <t>TINCA Feeder Mančaft</t>
  </si>
  <si>
    <t>KS-FISH Feeder Team Garbolino</t>
  </si>
  <si>
    <t>Tůma David</t>
  </si>
  <si>
    <t>Kodýdek Jiří</t>
  </si>
  <si>
    <t>Karásek Pavel</t>
  </si>
  <si>
    <t>Tychler Milan</t>
  </si>
  <si>
    <t>Hrabal Vladimír</t>
  </si>
  <si>
    <t>NORMARK - Shimano Fishing FeederTeam MO Uničov</t>
  </si>
  <si>
    <t>Srb Roman</t>
  </si>
  <si>
    <t>Douša Jan</t>
  </si>
  <si>
    <t>Šurgota Juraj</t>
  </si>
  <si>
    <t>Kříž Petr</t>
  </si>
  <si>
    <t>Krýsl Pavel</t>
  </si>
  <si>
    <t>Hahn Petr</t>
  </si>
  <si>
    <t>Smutný Jiří</t>
  </si>
  <si>
    <t>Sofron Pavel</t>
  </si>
  <si>
    <t>Malypetr Zdeněk</t>
  </si>
  <si>
    <t>Malypetr Zdeněk ml.</t>
  </si>
  <si>
    <t>SEMA TEAM FEEDER</t>
  </si>
  <si>
    <t>Vitásek Jiří</t>
  </si>
  <si>
    <t>Hanousek Václav</t>
  </si>
  <si>
    <t>Peřina Josef</t>
  </si>
  <si>
    <t>Bromovský Petr</t>
  </si>
  <si>
    <t xml:space="preserve">Konopásek Jaroslav </t>
  </si>
  <si>
    <t>Vávra Jiří</t>
  </si>
  <si>
    <t>Dorotík Tomáš</t>
  </si>
  <si>
    <t>Janiš Jiří</t>
  </si>
  <si>
    <t>Chalupa Ladislav</t>
  </si>
  <si>
    <t>Vinař René</t>
  </si>
  <si>
    <t>Pelíšek František</t>
  </si>
  <si>
    <t>K&amp;K Servis Feeder team RoyalBait</t>
  </si>
  <si>
    <t>Koubek František</t>
  </si>
  <si>
    <t>Kabourek Václav</t>
  </si>
  <si>
    <t>Janečka Martin</t>
  </si>
  <si>
    <t>Štěpnička Milan</t>
  </si>
  <si>
    <t>Štěpnička Radek</t>
  </si>
  <si>
    <t>Baranka Vladimír</t>
  </si>
  <si>
    <t>Ouředníček Jiří</t>
  </si>
  <si>
    <t>Ouředníček Jan</t>
  </si>
  <si>
    <t>Stejskal Miroslav</t>
  </si>
  <si>
    <t>Kuchař Petr</t>
  </si>
  <si>
    <t>Hlína Václav</t>
  </si>
  <si>
    <t>Pavelka Viktor</t>
  </si>
  <si>
    <t>Juřík Milan</t>
  </si>
  <si>
    <t>Staněk Karel</t>
  </si>
  <si>
    <t>Sládek Petr</t>
  </si>
  <si>
    <t>ÚSMP Feeder Team – FAPS</t>
  </si>
  <si>
    <t>Kasl Luboš</t>
  </si>
  <si>
    <t>Stříbrský Viktor</t>
  </si>
  <si>
    <t>Tóth Petr</t>
  </si>
  <si>
    <t>Dohnal Josef</t>
  </si>
  <si>
    <t>Panocha Josef</t>
  </si>
  <si>
    <t>F-1 Karlovy Vary Mivardi–Würth</t>
  </si>
  <si>
    <t>Havlíček Petr</t>
  </si>
  <si>
    <t>Vodička Miloslav</t>
  </si>
  <si>
    <t>Funda Petr</t>
  </si>
  <si>
    <t xml:space="preserve">Kaprňák feeder team </t>
  </si>
  <si>
    <t>Popadinec Richard</t>
  </si>
  <si>
    <t>Řehoř Michal</t>
  </si>
  <si>
    <t>Goda Jan</t>
  </si>
  <si>
    <t>Dušánek Bohuslav</t>
  </si>
  <si>
    <t>Sičák Pavel</t>
  </si>
  <si>
    <t>1.liga LRU Feeder</t>
  </si>
  <si>
    <t>30.05. a 31.05.2009</t>
  </si>
  <si>
    <t>Radana Srbová</t>
  </si>
  <si>
    <t>Bořuta Pavel</t>
  </si>
  <si>
    <t>Kocián Oldřich</t>
  </si>
  <si>
    <t>Soukup Michal</t>
  </si>
  <si>
    <t>Reiser Petr</t>
  </si>
  <si>
    <t xml:space="preserve">Vitebský Jakub </t>
  </si>
  <si>
    <t xml:space="preserve">Podrápský Petr </t>
  </si>
  <si>
    <t>401 002 Berounka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</si>
</sst>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6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0"/>
      <name val="Verdana"/>
      <family val="2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3"/>
      <name val="Verdana"/>
      <family val="2"/>
    </font>
    <font>
      <b/>
      <sz val="10"/>
      <color indexed="48"/>
      <name val="Verdana"/>
      <family val="2"/>
    </font>
    <font>
      <b/>
      <sz val="9"/>
      <color indexed="48"/>
      <name val="Verdana"/>
      <family val="2"/>
    </font>
    <font>
      <sz val="10"/>
      <color indexed="63"/>
      <name val="Verdana"/>
      <family val="2"/>
    </font>
    <font>
      <sz val="8"/>
      <name val="Tahoma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808080"/>
      <name val="Verdana"/>
      <family val="2"/>
    </font>
    <font>
      <b/>
      <sz val="10"/>
      <color rgb="FF3366FF"/>
      <name val="Verdana"/>
      <family val="2"/>
    </font>
    <font>
      <b/>
      <sz val="9"/>
      <color rgb="FF3366FF"/>
      <name val="Verdana"/>
      <family val="2"/>
    </font>
    <font>
      <sz val="10"/>
      <color rgb="FF333333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19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" fillId="0" borderId="19" xfId="0" applyFont="1" applyBorder="1" applyAlignment="1" applyProtection="1">
      <alignment horizontal="center" vertical="center"/>
      <protection hidden="1" locked="0"/>
    </xf>
    <xf numFmtId="0" fontId="1" fillId="0" borderId="18" xfId="0" applyFont="1" applyBorder="1" applyAlignment="1" applyProtection="1">
      <alignment horizontal="center" vertical="center"/>
      <protection hidden="1" locked="0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 locked="0"/>
    </xf>
    <xf numFmtId="3" fontId="2" fillId="0" borderId="25" xfId="0" applyNumberFormat="1" applyFont="1" applyBorder="1" applyAlignment="1" applyProtection="1">
      <alignment horizontal="right" vertical="center" wrapText="1"/>
      <protection hidden="1"/>
    </xf>
    <xf numFmtId="3" fontId="2" fillId="0" borderId="18" xfId="0" applyNumberFormat="1" applyFont="1" applyBorder="1" applyAlignment="1" applyProtection="1">
      <alignment horizontal="right" vertical="center" wrapText="1"/>
      <protection hidden="1"/>
    </xf>
    <xf numFmtId="3" fontId="8" fillId="0" borderId="18" xfId="0" applyNumberFormat="1" applyFont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vertical="center" wrapText="1"/>
      <protection hidden="1" locked="0"/>
    </xf>
    <xf numFmtId="0" fontId="1" fillId="0" borderId="28" xfId="0" applyFon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vertical="center" wrapText="1"/>
      <protection hidden="1"/>
    </xf>
    <xf numFmtId="0" fontId="0" fillId="0" borderId="30" xfId="0" applyBorder="1" applyAlignment="1" applyProtection="1">
      <alignment vertical="center" wrapText="1"/>
      <protection hidden="1"/>
    </xf>
    <xf numFmtId="0" fontId="2" fillId="0" borderId="20" xfId="0" applyFont="1" applyBorder="1" applyAlignment="1" applyProtection="1" quotePrefix="1">
      <alignment horizontal="left" vertical="center" wrapText="1"/>
      <protection hidden="1"/>
    </xf>
    <xf numFmtId="0" fontId="1" fillId="0" borderId="31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right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right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15" xfId="0" applyFont="1" applyBorder="1" applyAlignment="1" applyProtection="1">
      <alignment horizontal="center" vertical="center"/>
      <protection hidden="1" locked="0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vertical="center" wrapText="1"/>
      <protection hidden="1" locked="0"/>
    </xf>
    <xf numFmtId="0" fontId="2" fillId="0" borderId="18" xfId="0" applyFont="1" applyBorder="1" applyAlignment="1" applyProtection="1">
      <alignment/>
      <protection hidden="1"/>
    </xf>
    <xf numFmtId="0" fontId="2" fillId="0" borderId="18" xfId="0" applyFont="1" applyBorder="1" applyAlignment="1">
      <alignment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 quotePrefix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/>
      <protection hidden="1" locked="0"/>
    </xf>
    <xf numFmtId="0" fontId="1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right" vertical="center"/>
      <protection hidden="1"/>
    </xf>
    <xf numFmtId="0" fontId="13" fillId="0" borderId="0" xfId="0" applyFont="1" applyAlignment="1">
      <alignment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10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left" vertical="center" wrapText="1"/>
      <protection hidden="1"/>
    </xf>
    <xf numFmtId="0" fontId="1" fillId="0" borderId="28" xfId="0" applyFont="1" applyBorder="1" applyAlignment="1" applyProtection="1">
      <alignment horizontal="left" vertical="center" wrapText="1"/>
      <protection hidden="1"/>
    </xf>
    <xf numFmtId="0" fontId="1" fillId="0" borderId="30" xfId="0" applyFont="1" applyBorder="1" applyAlignment="1" applyProtection="1">
      <alignment horizontal="left" vertical="center" wrapText="1"/>
      <protection hidden="1"/>
    </xf>
    <xf numFmtId="0" fontId="0" fillId="0" borderId="42" xfId="0" applyFont="1" applyBorder="1" applyAlignment="1" applyProtection="1">
      <alignment horizontal="right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right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right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18" xfId="0" applyFont="1" applyFill="1" applyBorder="1" applyAlignment="1" applyProtection="1">
      <alignment horizontal="center" vertical="center"/>
      <protection hidden="1" locked="0"/>
    </xf>
    <xf numFmtId="0" fontId="1" fillId="0" borderId="22" xfId="0" applyFont="1" applyFill="1" applyBorder="1" applyAlignment="1" applyProtection="1">
      <alignment horizontal="center" vertical="center"/>
      <protection hidden="1" locked="0"/>
    </xf>
    <xf numFmtId="0" fontId="1" fillId="0" borderId="19" xfId="0" applyFont="1" applyFill="1" applyBorder="1" applyAlignment="1" applyProtection="1">
      <alignment horizontal="right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 locked="0"/>
    </xf>
    <xf numFmtId="0" fontId="1" fillId="0" borderId="18" xfId="0" applyFont="1" applyFill="1" applyBorder="1" applyAlignment="1" applyProtection="1">
      <alignment horizontal="right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right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2" xfId="0" applyFont="1" applyFill="1" applyBorder="1" applyAlignment="1" applyProtection="1">
      <alignment horizontal="right" vertical="center"/>
      <protection hidden="1"/>
    </xf>
    <xf numFmtId="0" fontId="0" fillId="0" borderId="43" xfId="0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left" vertical="center" wrapText="1"/>
      <protection hidden="1"/>
    </xf>
    <xf numFmtId="0" fontId="0" fillId="0" borderId="22" xfId="0" applyFont="1" applyFill="1" applyBorder="1" applyAlignment="1" applyProtection="1">
      <alignment horizontal="right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left" vertical="center" wrapText="1"/>
      <protection hidden="1"/>
    </xf>
    <xf numFmtId="0" fontId="0" fillId="0" borderId="20" xfId="0" applyFont="1" applyFill="1" applyBorder="1" applyAlignment="1" applyProtection="1">
      <alignment horizontal="right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 applyProtection="1">
      <alignment horizontal="right" vertical="center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9" fillId="0" borderId="44" xfId="0" applyFont="1" applyBorder="1" applyAlignment="1">
      <alignment horizontal="center" vertical="top" wrapText="1"/>
    </xf>
    <xf numFmtId="0" fontId="59" fillId="0" borderId="45" xfId="0" applyFont="1" applyBorder="1" applyAlignment="1">
      <alignment horizontal="center" vertical="top" wrapText="1"/>
    </xf>
    <xf numFmtId="0" fontId="59" fillId="0" borderId="44" xfId="0" applyFont="1" applyBorder="1" applyAlignment="1">
      <alignment vertical="top" wrapText="1"/>
    </xf>
    <xf numFmtId="0" fontId="59" fillId="0" borderId="45" xfId="0" applyFont="1" applyBorder="1" applyAlignment="1">
      <alignment vertical="top" wrapText="1"/>
    </xf>
    <xf numFmtId="0" fontId="60" fillId="0" borderId="44" xfId="0" applyFont="1" applyBorder="1" applyAlignment="1">
      <alignment vertical="top" wrapText="1"/>
    </xf>
    <xf numFmtId="0" fontId="61" fillId="0" borderId="44" xfId="0" applyFont="1" applyBorder="1" applyAlignment="1">
      <alignment vertical="top" wrapText="1"/>
    </xf>
    <xf numFmtId="0" fontId="16" fillId="0" borderId="0" xfId="0" applyFont="1" applyAlignment="1">
      <alignment/>
    </xf>
    <xf numFmtId="0" fontId="62" fillId="0" borderId="0" xfId="0" applyFont="1" applyAlignment="1">
      <alignment/>
    </xf>
    <xf numFmtId="0" fontId="2" fillId="33" borderId="20" xfId="0" applyFont="1" applyFill="1" applyBorder="1" applyAlignment="1" applyProtection="1" quotePrefix="1">
      <alignment horizontal="left" vertical="center" wrapText="1"/>
      <protection hidden="1"/>
    </xf>
    <xf numFmtId="0" fontId="0" fillId="33" borderId="13" xfId="0" applyFill="1" applyBorder="1" applyAlignment="1" applyProtection="1">
      <alignment vertical="center" wrapText="1"/>
      <protection hidden="1" locked="0"/>
    </xf>
    <xf numFmtId="0" fontId="4" fillId="33" borderId="24" xfId="0" applyFont="1" applyFill="1" applyBorder="1" applyAlignment="1" applyProtection="1" quotePrefix="1">
      <alignment vertical="center" wrapText="1"/>
      <protection hidden="1"/>
    </xf>
    <xf numFmtId="0" fontId="1" fillId="33" borderId="19" xfId="0" applyFont="1" applyFill="1" applyBorder="1" applyAlignment="1" applyProtection="1" quotePrefix="1">
      <alignment horizontal="center" vertical="center" wrapText="1"/>
      <protection hidden="1"/>
    </xf>
    <xf numFmtId="0" fontId="1" fillId="33" borderId="31" xfId="0" applyFont="1" applyFill="1" applyBorder="1" applyAlignment="1" applyProtection="1" quotePrefix="1">
      <alignment horizontal="center" vertical="center" wrapText="1"/>
      <protection hidden="1"/>
    </xf>
    <xf numFmtId="0" fontId="59" fillId="33" borderId="45" xfId="0" applyFont="1" applyFill="1" applyBorder="1" applyAlignment="1">
      <alignment vertical="top" wrapText="1"/>
    </xf>
    <xf numFmtId="0" fontId="59" fillId="33" borderId="44" xfId="0" applyFont="1" applyFill="1" applyBorder="1" applyAlignment="1">
      <alignment vertical="top" wrapText="1"/>
    </xf>
    <xf numFmtId="0" fontId="59" fillId="34" borderId="44" xfId="0" applyFont="1" applyFill="1" applyBorder="1" applyAlignment="1">
      <alignment vertical="top" wrapText="1"/>
    </xf>
    <xf numFmtId="0" fontId="59" fillId="34" borderId="45" xfId="0" applyFont="1" applyFill="1" applyBorder="1" applyAlignment="1">
      <alignment vertical="top" wrapText="1"/>
    </xf>
    <xf numFmtId="0" fontId="1" fillId="35" borderId="18" xfId="0" applyFont="1" applyFill="1" applyBorder="1" applyAlignment="1" applyProtection="1">
      <alignment horizontal="center" vertical="center"/>
      <protection hidden="1" locked="0"/>
    </xf>
    <xf numFmtId="0" fontId="1" fillId="0" borderId="21" xfId="0" applyFont="1" applyFill="1" applyBorder="1" applyAlignment="1" applyProtection="1">
      <alignment horizontal="center" vertical="center"/>
      <protection hidden="1" locked="0"/>
    </xf>
    <xf numFmtId="0" fontId="59" fillId="33" borderId="15" xfId="0" applyFont="1" applyFill="1" applyBorder="1" applyAlignment="1">
      <alignment vertical="top" wrapText="1"/>
    </xf>
    <xf numFmtId="0" fontId="60" fillId="0" borderId="16" xfId="0" applyFont="1" applyBorder="1" applyAlignment="1">
      <alignment vertical="top" wrapText="1"/>
    </xf>
    <xf numFmtId="0" fontId="59" fillId="0" borderId="0" xfId="0" applyFont="1" applyAlignment="1">
      <alignment horizontal="center" vertical="top" wrapText="1"/>
    </xf>
    <xf numFmtId="0" fontId="59" fillId="0" borderId="45" xfId="0" applyFont="1" applyBorder="1" applyAlignment="1">
      <alignment vertical="center"/>
    </xf>
    <xf numFmtId="0" fontId="59" fillId="0" borderId="39" xfId="0" applyFont="1" applyBorder="1" applyAlignment="1">
      <alignment horizontal="center" vertical="top" wrapText="1"/>
    </xf>
    <xf numFmtId="0" fontId="1" fillId="28" borderId="22" xfId="0" applyFont="1" applyFill="1" applyBorder="1" applyAlignment="1" applyProtection="1">
      <alignment horizontal="center" vertical="center"/>
      <protection hidden="1" locked="0"/>
    </xf>
    <xf numFmtId="0" fontId="1" fillId="28" borderId="18" xfId="0" applyFont="1" applyFill="1" applyBorder="1" applyAlignment="1" applyProtection="1">
      <alignment horizontal="center" vertical="center"/>
      <protection hidden="1"/>
    </xf>
    <xf numFmtId="0" fontId="1" fillId="28" borderId="30" xfId="0" applyFont="1" applyFill="1" applyBorder="1" applyAlignment="1" applyProtection="1">
      <alignment horizontal="center" vertical="center"/>
      <protection hidden="1"/>
    </xf>
    <xf numFmtId="0" fontId="1" fillId="28" borderId="20" xfId="0" applyFont="1" applyFill="1" applyBorder="1" applyAlignment="1" applyProtection="1">
      <alignment horizontal="center" vertical="center"/>
      <protection hidden="1" locked="0"/>
    </xf>
    <xf numFmtId="0" fontId="1" fillId="0" borderId="18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right" vertical="center"/>
      <protection hidden="1"/>
    </xf>
    <xf numFmtId="0" fontId="1" fillId="0" borderId="47" xfId="0" applyFont="1" applyBorder="1" applyAlignment="1" applyProtection="1">
      <alignment horizontal="right" vertical="center"/>
      <protection hidden="1"/>
    </xf>
    <xf numFmtId="0" fontId="1" fillId="0" borderId="25" xfId="0" applyFont="1" applyBorder="1" applyAlignment="1" applyProtection="1">
      <alignment horizontal="right" vertical="center"/>
      <protection hidden="1"/>
    </xf>
    <xf numFmtId="0" fontId="1" fillId="0" borderId="18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46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4" fillId="0" borderId="52" xfId="0" applyFont="1" applyBorder="1" applyAlignment="1" applyProtection="1">
      <alignment horizontal="center" vertical="center" textRotation="90" wrapText="1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 wrapText="1"/>
      <protection hidden="1" locked="0"/>
    </xf>
    <xf numFmtId="0" fontId="1" fillId="0" borderId="38" xfId="0" applyFont="1" applyBorder="1" applyAlignment="1" applyProtection="1">
      <alignment horizontal="center" vertical="center" wrapText="1"/>
      <protection hidden="1" locked="0"/>
    </xf>
    <xf numFmtId="0" fontId="1" fillId="0" borderId="21" xfId="0" applyFont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" fillId="0" borderId="6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" fillId="0" borderId="49" xfId="0" applyFont="1" applyBorder="1" applyAlignment="1" applyProtection="1">
      <alignment horizontal="center" vertical="center" wrapText="1"/>
      <protection hidden="1"/>
    </xf>
    <xf numFmtId="0" fontId="1" fillId="0" borderId="61" xfId="0" applyFont="1" applyBorder="1" applyAlignment="1" applyProtection="1">
      <alignment horizontal="center" vertical="center" wrapText="1"/>
      <protection hidden="1"/>
    </xf>
    <xf numFmtId="0" fontId="1" fillId="0" borderId="45" xfId="0" applyFont="1" applyBorder="1" applyAlignment="1" applyProtection="1">
      <alignment horizontal="center" vertical="center" wrapText="1"/>
      <protection hidden="1"/>
    </xf>
    <xf numFmtId="0" fontId="2" fillId="0" borderId="62" xfId="0" applyFont="1" applyBorder="1" applyAlignment="1" applyProtection="1">
      <alignment horizontal="center"/>
      <protection hidden="1"/>
    </xf>
    <xf numFmtId="0" fontId="2" fillId="0" borderId="54" xfId="0" applyFont="1" applyBorder="1" applyAlignment="1" applyProtection="1">
      <alignment horizontal="center"/>
      <protection hidden="1"/>
    </xf>
    <xf numFmtId="0" fontId="2" fillId="0" borderId="55" xfId="0" applyFont="1" applyBorder="1" applyAlignment="1" applyProtection="1">
      <alignment horizontal="center"/>
      <protection hidden="1"/>
    </xf>
    <xf numFmtId="0" fontId="2" fillId="0" borderId="63" xfId="0" applyFont="1" applyBorder="1" applyAlignment="1" applyProtection="1">
      <alignment horizontal="center"/>
      <protection hidden="1" locked="0"/>
    </xf>
    <xf numFmtId="0" fontId="2" fillId="0" borderId="64" xfId="0" applyFont="1" applyBorder="1" applyAlignment="1" applyProtection="1">
      <alignment horizontal="center"/>
      <protection hidden="1" locked="0"/>
    </xf>
    <xf numFmtId="0" fontId="2" fillId="0" borderId="65" xfId="0" applyFont="1" applyBorder="1" applyAlignment="1" applyProtection="1">
      <alignment horizontal="center"/>
      <protection hidden="1" locked="0"/>
    </xf>
    <xf numFmtId="0" fontId="2" fillId="0" borderId="52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6" xfId="0" applyFont="1" applyBorder="1" applyAlignment="1" applyProtection="1">
      <alignment horizontal="center"/>
      <protection hidden="1" locked="0"/>
    </xf>
    <xf numFmtId="0" fontId="1" fillId="0" borderId="18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hidden="1" locked="0"/>
    </xf>
    <xf numFmtId="0" fontId="2" fillId="0" borderId="36" xfId="0" applyFont="1" applyBorder="1" applyAlignment="1" applyProtection="1">
      <alignment horizontal="center" vertical="center"/>
      <protection hidden="1" locked="0"/>
    </xf>
    <xf numFmtId="0" fontId="2" fillId="0" borderId="16" xfId="0" applyFont="1" applyBorder="1" applyAlignment="1" applyProtection="1">
      <alignment horizontal="center" vertical="center"/>
      <protection hidden="1" locked="0"/>
    </xf>
    <xf numFmtId="0" fontId="1" fillId="0" borderId="67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68" xfId="0" applyFont="1" applyBorder="1" applyAlignment="1" applyProtection="1">
      <alignment horizontal="center" vertical="center" wrapText="1"/>
      <protection hidden="1"/>
    </xf>
    <xf numFmtId="0" fontId="1" fillId="0" borderId="69" xfId="0" applyFont="1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34" borderId="62" xfId="0" applyFont="1" applyFill="1" applyBorder="1" applyAlignment="1" applyProtection="1">
      <alignment horizontal="left" vertical="center" wrapText="1"/>
      <protection hidden="1" locked="0"/>
    </xf>
    <xf numFmtId="0" fontId="1" fillId="34" borderId="52" xfId="0" applyFont="1" applyFill="1" applyBorder="1" applyAlignment="1" applyProtection="1">
      <alignment horizontal="left" vertical="center" wrapText="1"/>
      <protection hidden="1" locked="0"/>
    </xf>
    <xf numFmtId="0" fontId="1" fillId="34" borderId="63" xfId="0" applyFont="1" applyFill="1" applyBorder="1" applyAlignment="1" applyProtection="1">
      <alignment horizontal="left" vertical="center" wrapText="1"/>
      <protection hidden="1" locked="0"/>
    </xf>
    <xf numFmtId="0" fontId="1" fillId="0" borderId="69" xfId="0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 locked="0"/>
    </xf>
    <xf numFmtId="0" fontId="2" fillId="0" borderId="51" xfId="0" applyFont="1" applyBorder="1" applyAlignment="1" applyProtection="1">
      <alignment horizontal="center" vertical="center"/>
      <protection hidden="1" locked="0"/>
    </xf>
    <xf numFmtId="0" fontId="1" fillId="0" borderId="4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1" fillId="0" borderId="28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70" xfId="0" applyFont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 locked="0"/>
    </xf>
    <xf numFmtId="0" fontId="2" fillId="0" borderId="36" xfId="0" applyFont="1" applyFill="1" applyBorder="1" applyAlignment="1" applyProtection="1">
      <alignment horizontal="center" vertical="center"/>
      <protection hidden="1" locked="0"/>
    </xf>
    <xf numFmtId="0" fontId="2" fillId="0" borderId="16" xfId="0" applyFont="1" applyFill="1" applyBorder="1" applyAlignment="1" applyProtection="1">
      <alignment horizontal="center" vertical="center"/>
      <protection hidden="1" locked="0"/>
    </xf>
    <xf numFmtId="0" fontId="1" fillId="0" borderId="69" xfId="0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64" xfId="0" applyFont="1" applyBorder="1" applyAlignment="1">
      <alignment horizontal="center"/>
    </xf>
    <xf numFmtId="0" fontId="1" fillId="0" borderId="49" xfId="0" applyFont="1" applyFill="1" applyBorder="1" applyAlignment="1" applyProtection="1">
      <alignment horizontal="left" vertical="center"/>
      <protection hidden="1"/>
    </xf>
    <xf numFmtId="0" fontId="0" fillId="0" borderId="61" xfId="0" applyFill="1" applyBorder="1" applyAlignment="1">
      <alignment horizontal="left"/>
    </xf>
    <xf numFmtId="0" fontId="1" fillId="0" borderId="67" xfId="0" applyFont="1" applyFill="1" applyBorder="1" applyAlignment="1" applyProtection="1">
      <alignment horizontal="center" vertical="center" wrapText="1"/>
      <protection hidden="1"/>
    </xf>
    <xf numFmtId="0" fontId="1" fillId="0" borderId="37" xfId="0" applyFont="1" applyFill="1" applyBorder="1" applyAlignment="1" applyProtection="1">
      <alignment horizontal="center" vertical="center" wrapText="1"/>
      <protection hidden="1"/>
    </xf>
    <xf numFmtId="0" fontId="1" fillId="0" borderId="68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 locked="0"/>
    </xf>
    <xf numFmtId="0" fontId="2" fillId="0" borderId="51" xfId="0" applyFont="1" applyFill="1" applyBorder="1" applyAlignment="1" applyProtection="1">
      <alignment horizontal="center" vertical="center"/>
      <protection hidden="1" locked="0"/>
    </xf>
    <xf numFmtId="0" fontId="1" fillId="35" borderId="62" xfId="0" applyFont="1" applyFill="1" applyBorder="1" applyAlignment="1" applyProtection="1">
      <alignment horizontal="left" vertical="center" wrapText="1"/>
      <protection hidden="1" locked="0"/>
    </xf>
    <xf numFmtId="0" fontId="1" fillId="35" borderId="52" xfId="0" applyFont="1" applyFill="1" applyBorder="1" applyAlignment="1" applyProtection="1">
      <alignment horizontal="left" vertical="center" wrapText="1"/>
      <protection hidden="1" locked="0"/>
    </xf>
    <xf numFmtId="0" fontId="1" fillId="35" borderId="63" xfId="0" applyFont="1" applyFill="1" applyBorder="1" applyAlignment="1" applyProtection="1">
      <alignment horizontal="left" vertical="center" wrapTex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64727775"/>
        <c:axId val="45679064"/>
      </c:barChart>
      <c:catAx>
        <c:axId val="647277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5679064"/>
        <c:crosses val="autoZero"/>
        <c:auto val="1"/>
        <c:lblOffset val="100"/>
        <c:tickLblSkip val="1"/>
        <c:noMultiLvlLbl val="0"/>
      </c:catAx>
      <c:valAx>
        <c:axId val="45679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472777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83875"/>
          <c:h val="0.9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'!$B$1:$F$1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'!$D$3:$D$62</c:f>
              <c:numCache/>
            </c:numRef>
          </c:val>
        </c:ser>
        <c:ser>
          <c:idx val="1"/>
          <c:order val="1"/>
          <c:tx>
            <c:strRef>
              <c:f>'Graf '!$G$1:$K$1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'!$I$3:$I$62</c:f>
              <c:numCache/>
            </c:numRef>
          </c:val>
        </c:ser>
        <c:gapWidth val="10"/>
        <c:axId val="8458393"/>
        <c:axId val="9016674"/>
      </c:barChart>
      <c:catAx>
        <c:axId val="845839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9016674"/>
        <c:crosses val="autoZero"/>
        <c:auto val="1"/>
        <c:lblOffset val="100"/>
        <c:tickLblSkip val="1"/>
        <c:noMultiLvlLbl val="0"/>
      </c:catAx>
      <c:valAx>
        <c:axId val="901667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5839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7675"/>
          <c:y val="0.06625"/>
          <c:w val="0.1207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79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1276350</xdr:colOff>
      <xdr:row>0</xdr:row>
      <xdr:rowOff>0</xdr:rowOff>
    </xdr:from>
    <xdr:to>
      <xdr:col>28</xdr:col>
      <xdr:colOff>266700</xdr:colOff>
      <xdr:row>64</xdr:row>
      <xdr:rowOff>104775</xdr:rowOff>
    </xdr:to>
    <xdr:graphicFrame>
      <xdr:nvGraphicFramePr>
        <xdr:cNvPr id="2" name="Chart 2"/>
        <xdr:cNvGraphicFramePr/>
      </xdr:nvGraphicFramePr>
      <xdr:xfrm>
        <a:off x="6534150" y="0"/>
        <a:ext cx="5534025" cy="1460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zoomScaleSheetLayoutView="100" zoomScalePageLayoutView="0" workbookViewId="0" topLeftCell="A29">
      <selection activeCell="N60" sqref="N60"/>
    </sheetView>
  </sheetViews>
  <sheetFormatPr defaultColWidth="9.00390625" defaultRowHeight="12.75" outlineLevelRow="1"/>
  <cols>
    <col min="1" max="1" width="9.125" style="12" bestFit="1" customWidth="1"/>
    <col min="2" max="2" width="11.25390625" style="12" hidden="1" customWidth="1"/>
    <col min="3" max="3" width="6.25390625" style="12" bestFit="1" customWidth="1"/>
    <col min="4" max="4" width="6.75390625" style="12" customWidth="1"/>
    <col min="5" max="6" width="9.125" style="12" customWidth="1"/>
    <col min="7" max="7" width="6.125" style="12" customWidth="1"/>
    <col min="8" max="8" width="0.12890625" style="12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67" t="s">
        <v>32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3:5" ht="12.75">
      <c r="C2" s="168" t="s">
        <v>10</v>
      </c>
      <c r="D2" s="168"/>
      <c r="E2" s="138" t="s">
        <v>178</v>
      </c>
    </row>
    <row r="3" spans="3:5" ht="15.75">
      <c r="C3" s="168" t="s">
        <v>11</v>
      </c>
      <c r="D3" s="168"/>
      <c r="E3" s="49" t="s">
        <v>169</v>
      </c>
    </row>
    <row r="4" spans="3:5" ht="12.75">
      <c r="C4" s="168" t="s">
        <v>33</v>
      </c>
      <c r="D4" s="168"/>
      <c r="E4" s="139" t="s">
        <v>170</v>
      </c>
    </row>
    <row r="5" spans="3:5" ht="15.75">
      <c r="C5" s="168" t="s">
        <v>87</v>
      </c>
      <c r="D5" s="168"/>
      <c r="E5" s="80"/>
    </row>
    <row r="6" spans="3:5" ht="15.75">
      <c r="C6" s="168" t="s">
        <v>34</v>
      </c>
      <c r="D6" s="168"/>
      <c r="E6" s="57" t="s">
        <v>171</v>
      </c>
    </row>
    <row r="7" spans="2:5" ht="12.75">
      <c r="B7" s="11"/>
      <c r="C7" s="161"/>
      <c r="D7" s="161"/>
      <c r="E7" s="161"/>
    </row>
    <row r="8" spans="1:14" ht="12.75" customHeight="1">
      <c r="A8" s="162" t="s">
        <v>29</v>
      </c>
      <c r="B8" s="162" t="s">
        <v>31</v>
      </c>
      <c r="C8" s="170" t="s">
        <v>35</v>
      </c>
      <c r="D8" s="171"/>
      <c r="E8" s="162" t="s">
        <v>38</v>
      </c>
      <c r="F8" s="162"/>
      <c r="G8" s="162"/>
      <c r="H8" s="162"/>
      <c r="I8" s="166" t="s">
        <v>39</v>
      </c>
      <c r="J8" s="166"/>
      <c r="K8" s="166" t="s">
        <v>40</v>
      </c>
      <c r="L8" s="166"/>
      <c r="M8" s="166" t="s">
        <v>47</v>
      </c>
      <c r="N8" s="166"/>
    </row>
    <row r="9" spans="1:14" s="42" customFormat="1" ht="25.5">
      <c r="A9" s="162"/>
      <c r="B9" s="162"/>
      <c r="C9" s="43" t="s">
        <v>50</v>
      </c>
      <c r="D9" s="43" t="s">
        <v>51</v>
      </c>
      <c r="E9" s="162"/>
      <c r="F9" s="162"/>
      <c r="G9" s="162"/>
      <c r="H9" s="162"/>
      <c r="I9" s="43" t="s">
        <v>41</v>
      </c>
      <c r="J9" s="43" t="s">
        <v>42</v>
      </c>
      <c r="K9" s="43" t="s">
        <v>46</v>
      </c>
      <c r="L9" s="43" t="s">
        <v>43</v>
      </c>
      <c r="M9" s="43" t="s">
        <v>46</v>
      </c>
      <c r="N9" s="43" t="s">
        <v>43</v>
      </c>
    </row>
    <row r="10" spans="1:14" s="42" customFormat="1" ht="15.75">
      <c r="A10" s="169" t="s">
        <v>36</v>
      </c>
      <c r="B10" s="169"/>
      <c r="C10" s="67">
        <f>SUM(C11:C16)</f>
        <v>60</v>
      </c>
      <c r="D10" s="67">
        <f>SUM(D11:D16)</f>
        <v>60</v>
      </c>
      <c r="E10" s="163"/>
      <c r="F10" s="164"/>
      <c r="G10" s="164"/>
      <c r="H10" s="165"/>
      <c r="I10" s="46">
        <f>SUM(I11:I16)</f>
        <v>135660</v>
      </c>
      <c r="J10" s="47">
        <f>IF(I10&gt;0,I10/$C10,"")</f>
        <v>2261</v>
      </c>
      <c r="K10" s="47">
        <f>SUM(K11:K16)</f>
        <v>95850</v>
      </c>
      <c r="L10" s="47">
        <f aca="true" t="shared" si="0" ref="L10:L16">IF(K10&gt;0,K10/$D10,"")</f>
        <v>1597.5</v>
      </c>
      <c r="M10" s="47">
        <f>SUM(M11:M16)</f>
        <v>231510</v>
      </c>
      <c r="N10" s="47">
        <f>IF(M10&gt;0,M10/(SUM(C10:D10)),"")</f>
        <v>1929.25</v>
      </c>
    </row>
    <row r="11" spans="1:14" ht="15.75">
      <c r="A11" s="45" t="s">
        <v>19</v>
      </c>
      <c r="B11" s="44">
        <v>3</v>
      </c>
      <c r="C11" s="68">
        <f>IF(ISBLANK($A11),"",COUNTA('1. závod'!$C$4:$C$13))</f>
        <v>10</v>
      </c>
      <c r="D11" s="68">
        <f>IF(ISBLANK($A11),"",COUNTA('2. závod'!$C$4:$C$13))</f>
        <v>10</v>
      </c>
      <c r="E11" s="162"/>
      <c r="F11" s="162"/>
      <c r="G11" s="162"/>
      <c r="H11" s="162"/>
      <c r="I11" s="48">
        <f>SUM('1. závod'!C:C)</f>
        <v>28300</v>
      </c>
      <c r="J11" s="47">
        <f aca="true" t="shared" si="1" ref="J11:J16">IF(I11&gt;0,I11/$C11,"")</f>
        <v>2830</v>
      </c>
      <c r="K11" s="48">
        <f>SUM('2. závod'!C:C)</f>
        <v>17100</v>
      </c>
      <c r="L11" s="47">
        <f t="shared" si="0"/>
        <v>1710</v>
      </c>
      <c r="M11" s="48">
        <f aca="true" t="shared" si="2" ref="M11:M16">SUM(I11,K11)</f>
        <v>45400</v>
      </c>
      <c r="N11" s="47">
        <f aca="true" t="shared" si="3" ref="N11:N16">IF(M11&gt;0,M11/(SUM(C11:D11)),"")</f>
        <v>2270</v>
      </c>
    </row>
    <row r="12" spans="1:14" ht="15.75">
      <c r="A12" s="45" t="s">
        <v>23</v>
      </c>
      <c r="B12" s="44">
        <f>IF(ISBLANK(A12),"",B11+5)</f>
        <v>8</v>
      </c>
      <c r="C12" s="68">
        <f>IF(ISBLANK($A12),"",COUNTA('1. závod'!$H$4:$H$13))</f>
        <v>10</v>
      </c>
      <c r="D12" s="68">
        <f>IF(ISBLANK($A12),"",COUNTA('2. závod'!$H$4:$H$13))</f>
        <v>10</v>
      </c>
      <c r="E12" s="162"/>
      <c r="F12" s="162"/>
      <c r="G12" s="162"/>
      <c r="H12" s="162"/>
      <c r="I12" s="48">
        <f>SUM('1. závod'!H:H)</f>
        <v>25700</v>
      </c>
      <c r="J12" s="47">
        <f t="shared" si="1"/>
        <v>2570</v>
      </c>
      <c r="K12" s="48">
        <f>SUM('2. závod'!H:H)</f>
        <v>15250</v>
      </c>
      <c r="L12" s="47">
        <f t="shared" si="0"/>
        <v>1525</v>
      </c>
      <c r="M12" s="48">
        <f t="shared" si="2"/>
        <v>40950</v>
      </c>
      <c r="N12" s="47">
        <f t="shared" si="3"/>
        <v>2047.5</v>
      </c>
    </row>
    <row r="13" spans="1:14" ht="15.75">
      <c r="A13" s="45" t="s">
        <v>22</v>
      </c>
      <c r="B13" s="44">
        <f>IF(ISBLANK(A13),"",B12+5)</f>
        <v>13</v>
      </c>
      <c r="C13" s="68">
        <f>IF(ISBLANK($A13),"",COUNTA('1. závod'!$M$4:$M$13))</f>
        <v>10</v>
      </c>
      <c r="D13" s="68">
        <f>IF(ISBLANK($A13),"",COUNTA('2. závod'!$M$4:$M$13))</f>
        <v>10</v>
      </c>
      <c r="E13" s="162"/>
      <c r="F13" s="162"/>
      <c r="G13" s="162"/>
      <c r="H13" s="162"/>
      <c r="I13" s="48">
        <f>SUM('1. závod'!M:M)</f>
        <v>26000</v>
      </c>
      <c r="J13" s="47">
        <f t="shared" si="1"/>
        <v>2600</v>
      </c>
      <c r="K13" s="48">
        <f>SUM('2. závod'!M:M)</f>
        <v>12500</v>
      </c>
      <c r="L13" s="47">
        <f t="shared" si="0"/>
        <v>1250</v>
      </c>
      <c r="M13" s="48">
        <f t="shared" si="2"/>
        <v>38500</v>
      </c>
      <c r="N13" s="47">
        <f t="shared" si="3"/>
        <v>1925</v>
      </c>
    </row>
    <row r="14" spans="1:14" ht="15.75">
      <c r="A14" s="45" t="s">
        <v>20</v>
      </c>
      <c r="B14" s="44">
        <f>IF(ISBLANK(A14),"",B13+5)</f>
        <v>18</v>
      </c>
      <c r="C14" s="68">
        <f>IF(ISBLANK($A14),"",COUNTA('1. závod'!$R$4:$R$13))</f>
        <v>10</v>
      </c>
      <c r="D14" s="68">
        <f>IF(ISBLANK($A14),"",COUNTA('2. závod'!$R$4:$R$13))</f>
        <v>10</v>
      </c>
      <c r="E14" s="162"/>
      <c r="F14" s="162"/>
      <c r="G14" s="162"/>
      <c r="H14" s="162"/>
      <c r="I14" s="48">
        <f>SUM('1. závod'!R:R)</f>
        <v>26460</v>
      </c>
      <c r="J14" s="47">
        <f t="shared" si="1"/>
        <v>2646</v>
      </c>
      <c r="K14" s="48">
        <f>SUM('2. závod'!R:R)</f>
        <v>15800</v>
      </c>
      <c r="L14" s="47">
        <f t="shared" si="0"/>
        <v>1580</v>
      </c>
      <c r="M14" s="48">
        <f t="shared" si="2"/>
        <v>42260</v>
      </c>
      <c r="N14" s="47">
        <f t="shared" si="3"/>
        <v>2113</v>
      </c>
    </row>
    <row r="15" spans="1:14" ht="15.75" outlineLevel="1">
      <c r="A15" s="45" t="s">
        <v>21</v>
      </c>
      <c r="B15" s="44">
        <f>IF(ISBLANK(A15),"",B14+5)</f>
        <v>23</v>
      </c>
      <c r="C15" s="68">
        <f>IF(ISBLANK($A15),"",COUNTA('1. závod'!$W$4:$W$13))</f>
        <v>10</v>
      </c>
      <c r="D15" s="68">
        <f>IF(ISBLANK($A15),"",COUNTA('2. závod'!$W$4:$W$13))</f>
        <v>10</v>
      </c>
      <c r="E15" s="163"/>
      <c r="F15" s="164"/>
      <c r="G15" s="164"/>
      <c r="H15" s="165"/>
      <c r="I15" s="48">
        <f>SUM('1. závod'!W:W)</f>
        <v>12200</v>
      </c>
      <c r="J15" s="47">
        <f t="shared" si="1"/>
        <v>1220</v>
      </c>
      <c r="K15" s="48">
        <f>SUM('2. závod'!W:W)</f>
        <v>19120</v>
      </c>
      <c r="L15" s="47">
        <f t="shared" si="0"/>
        <v>1912</v>
      </c>
      <c r="M15" s="48">
        <f t="shared" si="2"/>
        <v>31320</v>
      </c>
      <c r="N15" s="47">
        <f t="shared" si="3"/>
        <v>1566</v>
      </c>
    </row>
    <row r="16" spans="1:14" ht="15.75" outlineLevel="1">
      <c r="A16" s="45" t="s">
        <v>24</v>
      </c>
      <c r="B16" s="44">
        <f>IF(ISBLANK(A16),"",B15+5)</f>
        <v>28</v>
      </c>
      <c r="C16" s="68">
        <f>IF(ISBLANK($A16),"",COUNTA('1. závod'!$AB$4:$AB$13))</f>
        <v>10</v>
      </c>
      <c r="D16" s="68">
        <f>IF(ISBLANK($A16),"",COUNTA('2. závod'!$AB$4:$AB$13))</f>
        <v>10</v>
      </c>
      <c r="E16" s="162"/>
      <c r="F16" s="162"/>
      <c r="G16" s="162"/>
      <c r="H16" s="162"/>
      <c r="I16" s="48">
        <f>SUM('1. závod'!AB:AB)</f>
        <v>17000</v>
      </c>
      <c r="J16" s="47">
        <f t="shared" si="1"/>
        <v>1700</v>
      </c>
      <c r="K16" s="48">
        <f>SUM('2. závod'!AB:AB)</f>
        <v>16080</v>
      </c>
      <c r="L16" s="47">
        <f t="shared" si="0"/>
        <v>1608</v>
      </c>
      <c r="M16" s="48">
        <f t="shared" si="2"/>
        <v>33080</v>
      </c>
      <c r="N16" s="47">
        <f t="shared" si="3"/>
        <v>1654</v>
      </c>
    </row>
    <row r="17" spans="4:11" ht="15.75">
      <c r="D17" s="160" t="s">
        <v>48</v>
      </c>
      <c r="E17" s="160"/>
      <c r="F17" s="160"/>
      <c r="G17" s="160"/>
      <c r="H17" s="160"/>
      <c r="I17" s="69">
        <f>MAX('Výsledková listina'!H9:H58)</f>
        <v>11850</v>
      </c>
      <c r="J17" s="70"/>
      <c r="K17" s="69">
        <f>MAX('Výsledková listina'!L9:L58)</f>
        <v>3760</v>
      </c>
    </row>
    <row r="19" spans="5:9" ht="12.75">
      <c r="E19" s="12" t="s">
        <v>63</v>
      </c>
      <c r="I19">
        <f>COUNTIF('Výsledková listina'!$C:$C,"m")</f>
        <v>0</v>
      </c>
    </row>
    <row r="20" spans="5:9" ht="12.75">
      <c r="E20" s="12" t="s">
        <v>59</v>
      </c>
      <c r="I20">
        <f>COUNTIF('Výsledková listina'!$C:$C,"J")+COUNTIF('Výsledková listina'!$C:$C,"jž")</f>
        <v>0</v>
      </c>
    </row>
    <row r="21" spans="5:9" ht="12.75">
      <c r="E21" s="12" t="s">
        <v>60</v>
      </c>
      <c r="I21">
        <f>COUNTIF('Výsledková listina'!$C:$C,"KŽ")+COUNTIF('Výsledková listina'!$C:$C,"k")</f>
        <v>0</v>
      </c>
    </row>
    <row r="22" spans="5:9" ht="12.75">
      <c r="E22" s="12" t="s">
        <v>61</v>
      </c>
      <c r="I22">
        <f>COUNTIF('Výsledková listina'!$C:$C,"Ž")+COUNTIF('Výsledková listina'!$C:$C,"JŽ")+COUNTIF('Výsledková listina'!$C:$C,"KŽ")</f>
        <v>0</v>
      </c>
    </row>
    <row r="23" spans="5:9" ht="12.75">
      <c r="E23" s="12" t="s">
        <v>62</v>
      </c>
      <c r="I23">
        <f>COUNTIF('Výsledková listina'!$C:$C,"H")</f>
        <v>0</v>
      </c>
    </row>
    <row r="27" ht="12.75">
      <c r="A27" s="83" t="s">
        <v>64</v>
      </c>
    </row>
    <row r="28" ht="12.75">
      <c r="A28" s="83" t="s">
        <v>65</v>
      </c>
    </row>
    <row r="29" ht="12.75">
      <c r="A29" s="12" t="s">
        <v>67</v>
      </c>
    </row>
    <row r="30" ht="12.75">
      <c r="A30" s="12" t="s">
        <v>66</v>
      </c>
    </row>
    <row r="31" ht="11.25" customHeight="1">
      <c r="A31" s="12" t="s">
        <v>68</v>
      </c>
    </row>
    <row r="32" ht="12.75">
      <c r="A32" s="12" t="s">
        <v>77</v>
      </c>
    </row>
    <row r="34" ht="12.75">
      <c r="A34" s="83" t="s">
        <v>69</v>
      </c>
    </row>
    <row r="35" ht="12.75">
      <c r="A35" s="85" t="s">
        <v>70</v>
      </c>
    </row>
    <row r="36" ht="12.75">
      <c r="A36" s="12" t="s">
        <v>71</v>
      </c>
    </row>
    <row r="37" ht="12.75">
      <c r="A37" s="12" t="s">
        <v>76</v>
      </c>
    </row>
    <row r="40" ht="12.75">
      <c r="A40" s="83" t="s">
        <v>65</v>
      </c>
    </row>
    <row r="41" ht="12.75">
      <c r="A41" s="12" t="s">
        <v>72</v>
      </c>
    </row>
    <row r="42" ht="12.75">
      <c r="A42" s="12" t="s">
        <v>73</v>
      </c>
    </row>
    <row r="43" ht="12.75">
      <c r="A43" s="12" t="s">
        <v>74</v>
      </c>
    </row>
    <row r="44" ht="12.75">
      <c r="A44" s="12" t="s">
        <v>75</v>
      </c>
    </row>
    <row r="46" ht="12.75">
      <c r="A46" s="83" t="s">
        <v>79</v>
      </c>
    </row>
    <row r="47" ht="12.75">
      <c r="A47" s="12" t="s">
        <v>80</v>
      </c>
    </row>
  </sheetData>
  <sheetProtection/>
  <mergeCells count="23">
    <mergeCell ref="A10:B10"/>
    <mergeCell ref="A8:A9"/>
    <mergeCell ref="B8:B9"/>
    <mergeCell ref="C8:D8"/>
    <mergeCell ref="E11:H11"/>
    <mergeCell ref="E12:H12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17:H17"/>
    <mergeCell ref="C7:E7"/>
    <mergeCell ref="E13:H13"/>
    <mergeCell ref="E14:H14"/>
    <mergeCell ref="E15:H15"/>
    <mergeCell ref="E16:H16"/>
    <mergeCell ref="E10:H10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8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showGridLines="0" view="pageBreakPreview" zoomScaleNormal="75" zoomScaleSheetLayoutView="100" zoomScalePageLayoutView="0" workbookViewId="0" topLeftCell="A1">
      <pane xSplit="4" ySplit="8" topLeftCell="E5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J59" sqref="J59"/>
    </sheetView>
  </sheetViews>
  <sheetFormatPr defaultColWidth="9.00390625" defaultRowHeight="12.75" outlineLevelCol="1"/>
  <cols>
    <col min="1" max="1" width="4.125" style="12" bestFit="1" customWidth="1"/>
    <col min="2" max="2" width="22.375" style="24" bestFit="1" customWidth="1"/>
    <col min="3" max="3" width="5.125" style="12" customWidth="1"/>
    <col min="4" max="4" width="32.625" style="12" bestFit="1" customWidth="1"/>
    <col min="5" max="5" width="6.875" style="12" customWidth="1" outlineLevel="1"/>
    <col min="6" max="6" width="3.625" style="12" customWidth="1"/>
    <col min="7" max="7" width="3.875" style="12" customWidth="1"/>
    <col min="8" max="8" width="9.125" style="25" customWidth="1"/>
    <col min="9" max="9" width="5.125" style="12" customWidth="1"/>
    <col min="10" max="10" width="4.00390625" style="12" customWidth="1" outlineLevel="1"/>
    <col min="11" max="11" width="3.875" style="12" customWidth="1" outlineLevel="1"/>
    <col min="12" max="12" width="9.125" style="25" customWidth="1" outlineLevel="1"/>
    <col min="13" max="13" width="5.125" style="12" customWidth="1" outlineLevel="1"/>
    <col min="14" max="14" width="9.125" style="25" customWidth="1" outlineLevel="1"/>
    <col min="15" max="15" width="5.125" style="12" customWidth="1" outlineLevel="1"/>
    <col min="16" max="16" width="6.375" style="12" customWidth="1" outlineLevel="1"/>
    <col min="17" max="18" width="5.75390625" style="35" hidden="1" customWidth="1"/>
    <col min="19" max="19" width="5.75390625" style="35" customWidth="1"/>
    <col min="20" max="16384" width="9.125" style="12" customWidth="1"/>
  </cols>
  <sheetData>
    <row r="1" spans="1:16" ht="18">
      <c r="A1" s="191" t="s">
        <v>86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2:19" s="15" customFormat="1" ht="15" customHeight="1">
      <c r="B2" s="197" t="str">
        <f>CONCATENATE("Místo konání: ",'Základní list'!E2)</f>
        <v>Místo konání: 401 002 Berounka 2</v>
      </c>
      <c r="C2" s="197"/>
      <c r="D2" s="197"/>
      <c r="E2" s="197"/>
      <c r="F2" s="197"/>
      <c r="G2" s="197"/>
      <c r="H2" s="197"/>
      <c r="I2" s="197"/>
      <c r="J2" s="200" t="str">
        <f>CONCATENATE("Sponzor: ",'Základní list'!E5)</f>
        <v>Sponzor: </v>
      </c>
      <c r="K2" s="200"/>
      <c r="L2" s="200"/>
      <c r="M2" s="200"/>
      <c r="N2" s="200"/>
      <c r="O2" s="200"/>
      <c r="P2" s="200"/>
      <c r="Q2" s="35"/>
      <c r="R2" s="35"/>
      <c r="S2" s="35"/>
    </row>
    <row r="3" spans="1:19" s="15" customFormat="1" ht="15">
      <c r="A3" s="16"/>
      <c r="B3" s="198" t="str">
        <f>CONCATENATE("Druh závodu: ",'Základní list'!E3)</f>
        <v>Druh závodu: 1.liga LRU Feeder</v>
      </c>
      <c r="C3" s="198"/>
      <c r="D3" s="198"/>
      <c r="E3" s="198"/>
      <c r="F3" s="198"/>
      <c r="G3" s="198"/>
      <c r="H3" s="198"/>
      <c r="I3" s="198"/>
      <c r="J3" s="200" t="str">
        <f>CONCATENATE("Hl. rozhodčí: ",'Základní list'!E6)</f>
        <v>Hl. rozhodčí: Radana Srbová</v>
      </c>
      <c r="K3" s="200"/>
      <c r="L3" s="200"/>
      <c r="M3" s="200"/>
      <c r="N3" s="200"/>
      <c r="O3" s="200"/>
      <c r="P3" s="200"/>
      <c r="Q3" s="35"/>
      <c r="R3" s="35"/>
      <c r="S3" s="35"/>
    </row>
    <row r="4" spans="1:19" s="15" customFormat="1" ht="12.75">
      <c r="A4" s="16"/>
      <c r="B4" s="201" t="str">
        <f>CONCATENATE("Datum: ",'Základní list'!E4)</f>
        <v>Datum: 30.05. a 31.05.2009</v>
      </c>
      <c r="C4" s="201"/>
      <c r="D4" s="201"/>
      <c r="E4" s="201"/>
      <c r="F4" s="201"/>
      <c r="G4" s="201"/>
      <c r="H4" s="201"/>
      <c r="I4" s="201"/>
      <c r="J4" s="117" t="s">
        <v>88</v>
      </c>
      <c r="K4" s="16"/>
      <c r="L4" s="117" t="s">
        <v>138</v>
      </c>
      <c r="M4" s="16"/>
      <c r="N4" s="10"/>
      <c r="O4" s="16"/>
      <c r="P4" s="16"/>
      <c r="Q4" s="35"/>
      <c r="R4" s="35"/>
      <c r="S4" s="35"/>
    </row>
    <row r="5" spans="1:19" s="15" customFormat="1" ht="3.75" customHeight="1" thickBot="1">
      <c r="A5" s="16"/>
      <c r="B5" s="81"/>
      <c r="C5" s="81"/>
      <c r="D5" s="81"/>
      <c r="E5" s="81"/>
      <c r="F5" s="81"/>
      <c r="G5" s="81"/>
      <c r="H5" s="81"/>
      <c r="I5" s="81"/>
      <c r="J5" s="16"/>
      <c r="K5" s="16"/>
      <c r="L5" s="10"/>
      <c r="M5" s="16"/>
      <c r="N5" s="10"/>
      <c r="O5" s="16"/>
      <c r="P5" s="16"/>
      <c r="Q5" s="35"/>
      <c r="R5" s="35"/>
      <c r="S5" s="35"/>
    </row>
    <row r="6" spans="1:19" s="17" customFormat="1" ht="12.75" customHeight="1" thickBot="1">
      <c r="A6" s="194" t="s">
        <v>49</v>
      </c>
      <c r="B6" s="180" t="s">
        <v>17</v>
      </c>
      <c r="C6" s="181"/>
      <c r="D6" s="181"/>
      <c r="E6" s="182"/>
      <c r="F6" s="192" t="s">
        <v>0</v>
      </c>
      <c r="G6" s="193"/>
      <c r="H6" s="193"/>
      <c r="I6" s="199"/>
      <c r="J6" s="192" t="s">
        <v>1</v>
      </c>
      <c r="K6" s="193"/>
      <c r="L6" s="193"/>
      <c r="M6" s="199"/>
      <c r="N6" s="192" t="s">
        <v>2</v>
      </c>
      <c r="O6" s="193"/>
      <c r="P6" s="182"/>
      <c r="Q6" s="179" t="s">
        <v>25</v>
      </c>
      <c r="R6" s="172" t="s">
        <v>26</v>
      </c>
      <c r="S6" s="82"/>
    </row>
    <row r="7" spans="1:19" s="17" customFormat="1" ht="12.75" customHeight="1">
      <c r="A7" s="195"/>
      <c r="B7" s="183"/>
      <c r="C7" s="184"/>
      <c r="D7" s="184"/>
      <c r="E7" s="185"/>
      <c r="F7" s="173" t="s">
        <v>3</v>
      </c>
      <c r="G7" s="174"/>
      <c r="H7" s="189" t="s">
        <v>4</v>
      </c>
      <c r="I7" s="177" t="s">
        <v>5</v>
      </c>
      <c r="J7" s="173" t="str">
        <f>F7</f>
        <v>Sektor</v>
      </c>
      <c r="K7" s="174"/>
      <c r="L7" s="189" t="str">
        <f>H7</f>
        <v>CIPS</v>
      </c>
      <c r="M7" s="177" t="str">
        <f>I7</f>
        <v>Poř</v>
      </c>
      <c r="N7" s="187" t="str">
        <f>L7</f>
        <v>CIPS</v>
      </c>
      <c r="O7" s="177" t="s">
        <v>6</v>
      </c>
      <c r="P7" s="175" t="str">
        <f>M7</f>
        <v>Poř</v>
      </c>
      <c r="Q7" s="179"/>
      <c r="R7" s="172"/>
      <c r="S7" s="82"/>
    </row>
    <row r="8" spans="1:19" s="17" customFormat="1" ht="13.5" customHeight="1" thickBot="1">
      <c r="A8" s="196"/>
      <c r="B8" s="86" t="s">
        <v>37</v>
      </c>
      <c r="C8" s="19" t="s">
        <v>7</v>
      </c>
      <c r="D8" s="20" t="s">
        <v>56</v>
      </c>
      <c r="E8" s="87" t="s">
        <v>53</v>
      </c>
      <c r="F8" s="21" t="s">
        <v>9</v>
      </c>
      <c r="G8" s="19" t="s">
        <v>8</v>
      </c>
      <c r="H8" s="190"/>
      <c r="I8" s="178"/>
      <c r="J8" s="21" t="str">
        <f>F8</f>
        <v>sk</v>
      </c>
      <c r="K8" s="19" t="str">
        <f>G8</f>
        <v>čís</v>
      </c>
      <c r="L8" s="190"/>
      <c r="M8" s="178"/>
      <c r="N8" s="188"/>
      <c r="O8" s="178"/>
      <c r="P8" s="176"/>
      <c r="Q8" s="179"/>
      <c r="R8" s="172"/>
      <c r="S8" s="82" t="s">
        <v>58</v>
      </c>
    </row>
    <row r="9" spans="1:19" ht="18" customHeight="1" thickBot="1">
      <c r="A9" s="104">
        <v>37</v>
      </c>
      <c r="B9" s="148" t="s">
        <v>144</v>
      </c>
      <c r="C9" s="149"/>
      <c r="D9" s="136" t="s">
        <v>101</v>
      </c>
      <c r="E9" s="133">
        <v>1126</v>
      </c>
      <c r="F9" s="156" t="s">
        <v>20</v>
      </c>
      <c r="G9" s="32">
        <v>8</v>
      </c>
      <c r="H9" s="26">
        <f>IF($G9="","",INDEX('1. závod'!$A:$BD,$G9+3,INDEX('Základní list'!$B:$B,MATCH($F9,'Základní list'!$A:$A,0),1)))</f>
        <v>6460</v>
      </c>
      <c r="I9" s="157">
        <f>IF($G9="","",INDEX('1. závod'!$A:$BC,$G9+3,INDEX('Základní list'!$B:$B,MATCH($F9,'Základní list'!$A:$A,0),1)+2))</f>
        <v>1</v>
      </c>
      <c r="J9" s="159" t="s">
        <v>24</v>
      </c>
      <c r="K9" s="31">
        <v>4</v>
      </c>
      <c r="L9" s="59">
        <f>IF($K9="","",INDEX('2. závod'!$A:$BD,$K9+3,INDEX('Základní list'!$B:$B,MATCH($J9,'Základní list'!$A:$A,0),1)))</f>
        <v>3760</v>
      </c>
      <c r="M9" s="158">
        <f>IF($K9="","",INDEX('2. závod'!$A:$BD,$K9+3,INDEX('Základní list'!$B:$B,MATCH($J9,'Základní list'!$A:$A,0),1)+2))</f>
        <v>1</v>
      </c>
      <c r="N9" s="28">
        <f>IF($K9="","",SUM(H9,L9))</f>
        <v>10220</v>
      </c>
      <c r="O9" s="58">
        <f>IF($K9="","",SUM(I9,M9))</f>
        <v>2</v>
      </c>
      <c r="P9" s="66">
        <f>IF($N9="","",RANK(O9,O:O,1))</f>
        <v>1</v>
      </c>
      <c r="Q9" s="36" t="str">
        <f>CONCATENATE(F9,G9)</f>
        <v>D8</v>
      </c>
      <c r="R9" s="36" t="str">
        <f>CONCATENATE(J9,K9)</f>
        <v>F4</v>
      </c>
      <c r="S9" s="36">
        <f>COUNT(I9,M9)</f>
        <v>2</v>
      </c>
    </row>
    <row r="10" spans="1:19" s="17" customFormat="1" ht="18" customHeight="1" thickBot="1">
      <c r="A10" s="104">
        <v>19</v>
      </c>
      <c r="B10" s="135" t="s">
        <v>126</v>
      </c>
      <c r="C10" s="105"/>
      <c r="D10" s="136" t="s">
        <v>95</v>
      </c>
      <c r="E10" s="133">
        <v>1730</v>
      </c>
      <c r="F10" s="106" t="s">
        <v>19</v>
      </c>
      <c r="G10" s="105">
        <v>7</v>
      </c>
      <c r="H10" s="107">
        <f>IF($G10="","",INDEX('1. závod'!$A:$BD,$G10+3,INDEX('Základní list'!$B:$B,MATCH($F10,'Základní list'!$A:$A,0),1)))</f>
        <v>5850</v>
      </c>
      <c r="I10" s="108">
        <f>IF($G10="","",INDEX('1. závod'!$A:$BC,$G10+3,INDEX('Základní list'!$B:$B,MATCH($F10,'Základní list'!$A:$A,0),1)+2))</f>
        <v>2</v>
      </c>
      <c r="J10" s="159" t="s">
        <v>20</v>
      </c>
      <c r="K10" s="109">
        <v>9</v>
      </c>
      <c r="L10" s="110">
        <f>IF($K10="","",INDEX('2. závod'!$A:$BD,$K10+3,INDEX('Základní list'!$B:$B,MATCH($J10,'Základní list'!$A:$A,0),1)))</f>
        <v>2800</v>
      </c>
      <c r="M10" s="158">
        <f>IF($K10="","",INDEX('2. závod'!$A:$BD,$K10+3,INDEX('Základní list'!$B:$B,MATCH($J10,'Základní list'!$A:$A,0),1)+2))</f>
        <v>1</v>
      </c>
      <c r="N10" s="112">
        <f>IF($K10="","",SUM(H10,L10))</f>
        <v>8650</v>
      </c>
      <c r="O10" s="113">
        <f>IF($K10="","",SUM(I10,M10))</f>
        <v>3</v>
      </c>
      <c r="P10" s="114">
        <f>IF($N10="","",RANK(O10,O:O,1))</f>
        <v>2</v>
      </c>
      <c r="Q10" s="36" t="str">
        <f>CONCATENATE(F10,G10)</f>
        <v>A7</v>
      </c>
      <c r="R10" s="36" t="str">
        <f>CONCATENATE(J10,K10)</f>
        <v>D9</v>
      </c>
      <c r="S10" s="36">
        <f>COUNT(I10,M10)</f>
        <v>2</v>
      </c>
    </row>
    <row r="11" spans="1:19" s="17" customFormat="1" ht="18" customHeight="1" thickBot="1">
      <c r="A11" s="104">
        <v>13</v>
      </c>
      <c r="B11" s="146" t="s">
        <v>120</v>
      </c>
      <c r="C11" s="105"/>
      <c r="D11" s="136" t="s">
        <v>93</v>
      </c>
      <c r="E11" s="132">
        <v>1982</v>
      </c>
      <c r="F11" s="106" t="s">
        <v>20</v>
      </c>
      <c r="G11" s="105">
        <v>2</v>
      </c>
      <c r="H11" s="107">
        <f>IF($G11="","",INDEX('1. závod'!$A:$BD,$G11+3,INDEX('Základní list'!$B:$B,MATCH($F11,'Základní list'!$A:$A,0),1)))</f>
        <v>4200</v>
      </c>
      <c r="I11" s="108">
        <f>IF($G11="","",INDEX('1. závod'!$A:$BC,$G11+3,INDEX('Základní list'!$B:$B,MATCH($F11,'Základní list'!$A:$A,0),1)+2))</f>
        <v>2</v>
      </c>
      <c r="J11" s="159" t="s">
        <v>19</v>
      </c>
      <c r="K11" s="109">
        <v>6</v>
      </c>
      <c r="L11" s="110">
        <f>IF($K11="","",INDEX('2. závod'!$A:$BD,$K11+3,INDEX('Základní list'!$B:$B,MATCH($J11,'Základní list'!$A:$A,0),1)))</f>
        <v>3500</v>
      </c>
      <c r="M11" s="158">
        <f>IF($K11="","",INDEX('2. závod'!$A:$BD,$K11+3,INDEX('Základní list'!$B:$B,MATCH($J11,'Základní list'!$A:$A,0),1)+2))</f>
        <v>1</v>
      </c>
      <c r="N11" s="112">
        <f>IF($K11="","",SUM(H11,L11))</f>
        <v>7700</v>
      </c>
      <c r="O11" s="113">
        <f>IF($K11="","",SUM(I11,M11))</f>
        <v>3</v>
      </c>
      <c r="P11" s="114">
        <v>3</v>
      </c>
      <c r="Q11" s="36" t="str">
        <f>CONCATENATE(F11,G11)</f>
        <v>D2</v>
      </c>
      <c r="R11" s="36" t="str">
        <f>CONCATENATE(J11,K11)</f>
        <v>A6</v>
      </c>
      <c r="S11" s="36">
        <f>COUNT(I11,M11)</f>
        <v>2</v>
      </c>
    </row>
    <row r="12" spans="1:19" s="17" customFormat="1" ht="18" customHeight="1" thickBot="1">
      <c r="A12" s="104">
        <v>45</v>
      </c>
      <c r="B12" s="147" t="s">
        <v>152</v>
      </c>
      <c r="C12" s="149"/>
      <c r="D12" s="136" t="s">
        <v>153</v>
      </c>
      <c r="E12" s="132">
        <v>2564</v>
      </c>
      <c r="F12" s="33" t="s">
        <v>21</v>
      </c>
      <c r="G12" s="32">
        <v>10</v>
      </c>
      <c r="H12" s="26">
        <f>IF($G12="","",INDEX('1. závod'!$A:$BD,$G12+3,INDEX('Základní list'!$B:$B,MATCH($F12,'Základní list'!$A:$A,0),1)))</f>
        <v>1960</v>
      </c>
      <c r="I12" s="22">
        <f>IF($G12="","",INDEX('1. závod'!$A:$BC,$G12+3,INDEX('Základní list'!$B:$B,MATCH($F12,'Základní list'!$A:$A,0),1)+2))</f>
        <v>2</v>
      </c>
      <c r="J12" s="159" t="s">
        <v>22</v>
      </c>
      <c r="K12" s="31">
        <v>5</v>
      </c>
      <c r="L12" s="59">
        <f>IF($K12="","",INDEX('2. závod'!$A:$BD,$K12+3,INDEX('Základní list'!$B:$B,MATCH($J12,'Základní list'!$A:$A,0),1)))</f>
        <v>3550</v>
      </c>
      <c r="M12" s="158">
        <f>IF($K12="","",INDEX('2. závod'!$A:$BD,$K12+3,INDEX('Základní list'!$B:$B,MATCH($J12,'Základní list'!$A:$A,0),1)+2))</f>
        <v>1</v>
      </c>
      <c r="N12" s="28">
        <f>IF($K12="","",SUM(H12,L12))</f>
        <v>5510</v>
      </c>
      <c r="O12" s="58">
        <f>IF($K12="","",SUM(I12,M12))</f>
        <v>3</v>
      </c>
      <c r="P12" s="66">
        <v>4</v>
      </c>
      <c r="Q12" s="36" t="str">
        <f>CONCATENATE(F12,G12)</f>
        <v>E10</v>
      </c>
      <c r="R12" s="36" t="str">
        <f>CONCATENATE(J12,K12)</f>
        <v>C5</v>
      </c>
      <c r="S12" s="36">
        <f>COUNT(I12,M12)</f>
        <v>2</v>
      </c>
    </row>
    <row r="13" spans="1:19" s="17" customFormat="1" ht="18" customHeight="1" thickBot="1">
      <c r="A13" s="104">
        <v>7</v>
      </c>
      <c r="B13" s="135" t="s">
        <v>115</v>
      </c>
      <c r="C13" s="105"/>
      <c r="D13" s="136" t="s">
        <v>91</v>
      </c>
      <c r="E13" s="133">
        <v>1321</v>
      </c>
      <c r="F13" s="106" t="s">
        <v>23</v>
      </c>
      <c r="G13" s="105">
        <v>9</v>
      </c>
      <c r="H13" s="107">
        <f>IF($G13="","",INDEX('1. závod'!$A:$BD,$G13+3,INDEX('Základní list'!$B:$B,MATCH($F13,'Základní list'!$A:$A,0),1)))</f>
        <v>7200</v>
      </c>
      <c r="I13" s="108">
        <f>IF($G13="","",INDEX('1. závod'!$A:$BC,$G13+3,INDEX('Základní list'!$B:$B,MATCH($F13,'Základní list'!$A:$A,0),1)+2))</f>
        <v>2</v>
      </c>
      <c r="J13" s="104" t="s">
        <v>21</v>
      </c>
      <c r="K13" s="109">
        <v>10</v>
      </c>
      <c r="L13" s="110">
        <f>IF($K13="","",INDEX('2. závod'!$A:$BD,$K13+3,INDEX('Základní list'!$B:$B,MATCH($J13,'Základní list'!$A:$A,0),1)))</f>
        <v>3060</v>
      </c>
      <c r="M13" s="111">
        <f>IF($K13="","",INDEX('2. závod'!$A:$BD,$K13+3,INDEX('Základní list'!$B:$B,MATCH($J13,'Základní list'!$A:$A,0),1)+2))</f>
        <v>2</v>
      </c>
      <c r="N13" s="112">
        <f>IF($K13="","",SUM(H13,L13))</f>
        <v>10260</v>
      </c>
      <c r="O13" s="113">
        <f>IF($K13="","",SUM(I13,M13))</f>
        <v>4</v>
      </c>
      <c r="P13" s="114">
        <f>IF($N13="","",RANK(O13,O:O,1))</f>
        <v>5</v>
      </c>
      <c r="Q13" s="36" t="str">
        <f>CONCATENATE(F13,G13)</f>
        <v>B9</v>
      </c>
      <c r="R13" s="36" t="str">
        <f>CONCATENATE(J13,K13)</f>
        <v>E10</v>
      </c>
      <c r="S13" s="36">
        <f>COUNT(I13,M13)</f>
        <v>2</v>
      </c>
    </row>
    <row r="14" spans="1:19" ht="18" customHeight="1" thickBot="1">
      <c r="A14" s="104">
        <v>4</v>
      </c>
      <c r="B14" s="134" t="s">
        <v>112</v>
      </c>
      <c r="C14" s="105"/>
      <c r="D14" s="136" t="s">
        <v>114</v>
      </c>
      <c r="E14" s="132">
        <v>2358</v>
      </c>
      <c r="F14" s="106" t="s">
        <v>22</v>
      </c>
      <c r="G14" s="105">
        <v>6</v>
      </c>
      <c r="H14" s="107">
        <f>IF($G14="","",INDEX('1. závod'!$A:$BD,$G14+3,INDEX('Základní list'!$B:$B,MATCH($F14,'Základní list'!$A:$A,0),1)))</f>
        <v>2650</v>
      </c>
      <c r="I14" s="108">
        <f>IF($G14="","",INDEX('1. závod'!$A:$BC,$G14+3,INDEX('Základní list'!$B:$B,MATCH($F14,'Základní list'!$A:$A,0),1)+2))</f>
        <v>4</v>
      </c>
      <c r="J14" s="159" t="s">
        <v>21</v>
      </c>
      <c r="K14" s="109">
        <v>2</v>
      </c>
      <c r="L14" s="110">
        <f>IF($K14="","",INDEX('2. závod'!$A:$BD,$K14+3,INDEX('Základní list'!$B:$B,MATCH($J14,'Základní list'!$A:$A,0),1)))</f>
        <v>3640</v>
      </c>
      <c r="M14" s="158">
        <f>IF($K14="","",INDEX('2. závod'!$A:$BD,$K14+3,INDEX('Základní list'!$B:$B,MATCH($J14,'Základní list'!$A:$A,0),1)+2))</f>
        <v>1</v>
      </c>
      <c r="N14" s="112">
        <f>IF($K14="","",SUM(H14,L14))</f>
        <v>6290</v>
      </c>
      <c r="O14" s="113">
        <f>IF($K14="","",SUM(I14,M14))</f>
        <v>5</v>
      </c>
      <c r="P14" s="114">
        <f>IF($N14="","",RANK(O14,O:O,1))</f>
        <v>6</v>
      </c>
      <c r="Q14" s="36" t="str">
        <f>CONCATENATE(F14,G14)</f>
        <v>C6</v>
      </c>
      <c r="R14" s="36" t="str">
        <f>CONCATENATE(J14,K14)</f>
        <v>E2</v>
      </c>
      <c r="S14" s="36">
        <f>COUNT(I14,M14)</f>
        <v>2</v>
      </c>
    </row>
    <row r="15" spans="1:19" s="17" customFormat="1" ht="18" customHeight="1" thickBot="1">
      <c r="A15" s="104">
        <v>25</v>
      </c>
      <c r="B15" s="135" t="s">
        <v>131</v>
      </c>
      <c r="C15" s="105"/>
      <c r="D15" s="136" t="s">
        <v>97</v>
      </c>
      <c r="E15" s="133">
        <v>2289</v>
      </c>
      <c r="F15" s="106" t="s">
        <v>20</v>
      </c>
      <c r="G15" s="105">
        <v>10</v>
      </c>
      <c r="H15" s="107">
        <f>IF($G15="","",INDEX('1. závod'!$A:$BD,$G15+3,INDEX('Základní list'!$B:$B,MATCH($F15,'Základní list'!$A:$A,0),1)))</f>
        <v>2980</v>
      </c>
      <c r="I15" s="108">
        <f>IF($G15="","",INDEX('1. závod'!$A:$BC,$G15+3,INDEX('Základní list'!$B:$B,MATCH($F15,'Základní list'!$A:$A,0),1)+2))</f>
        <v>3</v>
      </c>
      <c r="J15" s="104" t="s">
        <v>20</v>
      </c>
      <c r="K15" s="109">
        <v>7</v>
      </c>
      <c r="L15" s="110">
        <f>IF($K15="","",INDEX('2. závod'!$A:$BD,$K15+3,INDEX('Základní list'!$B:$B,MATCH($J15,'Základní list'!$A:$A,0),1)))</f>
        <v>2620</v>
      </c>
      <c r="M15" s="111">
        <f>IF($K15="","",INDEX('2. závod'!$A:$BD,$K15+3,INDEX('Základní list'!$B:$B,MATCH($J15,'Základní list'!$A:$A,0),1)+2))</f>
        <v>2</v>
      </c>
      <c r="N15" s="112">
        <f>IF($K15="","",SUM(H15,L15))</f>
        <v>5600</v>
      </c>
      <c r="O15" s="113">
        <f>IF($K15="","",SUM(I15,M15))</f>
        <v>5</v>
      </c>
      <c r="P15" s="114">
        <v>7</v>
      </c>
      <c r="Q15" s="36" t="str">
        <f>CONCATENATE(F15,G15)</f>
        <v>D10</v>
      </c>
      <c r="R15" s="36" t="str">
        <f>CONCATENATE(J15,K15)</f>
        <v>D7</v>
      </c>
      <c r="S15" s="36">
        <f>COUNT(I15,M15)</f>
        <v>2</v>
      </c>
    </row>
    <row r="16" spans="1:19" s="17" customFormat="1" ht="18" customHeight="1" thickBot="1">
      <c r="A16" s="104">
        <v>35</v>
      </c>
      <c r="B16" s="135" t="s">
        <v>142</v>
      </c>
      <c r="C16" s="32"/>
      <c r="D16" s="136" t="s">
        <v>100</v>
      </c>
      <c r="E16" s="133">
        <v>2299</v>
      </c>
      <c r="F16" s="156" t="s">
        <v>23</v>
      </c>
      <c r="G16" s="32">
        <v>3</v>
      </c>
      <c r="H16" s="26">
        <f>IF($G16="","",INDEX('1. závod'!$A:$BD,$G16+3,INDEX('Základní list'!$B:$B,MATCH($F16,'Základní list'!$A:$A,0),1)))</f>
        <v>7600</v>
      </c>
      <c r="I16" s="157">
        <f>IF($G16="","",INDEX('1. závod'!$A:$BC,$G16+3,INDEX('Základní list'!$B:$B,MATCH($F16,'Základní list'!$A:$A,0),1)+2))</f>
        <v>1</v>
      </c>
      <c r="J16" s="30" t="s">
        <v>20</v>
      </c>
      <c r="K16" s="31">
        <v>3</v>
      </c>
      <c r="L16" s="59">
        <f>IF($K16="","",INDEX('2. závod'!$A:$BD,$K16+3,INDEX('Základní list'!$B:$B,MATCH($J16,'Základní list'!$A:$A,0),1)))</f>
        <v>1460</v>
      </c>
      <c r="M16" s="60">
        <f>IF($K16="","",INDEX('2. závod'!$A:$BD,$K16+3,INDEX('Základní list'!$B:$B,MATCH($J16,'Základní list'!$A:$A,0),1)+2))</f>
        <v>5</v>
      </c>
      <c r="N16" s="28">
        <f>IF($K16="","",SUM(H16,L16))</f>
        <v>9060</v>
      </c>
      <c r="O16" s="58">
        <f>IF($K16="","",SUM(I16,M16))</f>
        <v>6</v>
      </c>
      <c r="P16" s="66">
        <f>IF($N16="","",RANK(O16,O:O,1))</f>
        <v>8</v>
      </c>
      <c r="Q16" s="36" t="str">
        <f>CONCATENATE(F16,G16)</f>
        <v>B3</v>
      </c>
      <c r="R16" s="36" t="str">
        <f>CONCATENATE(J16,K16)</f>
        <v>D3</v>
      </c>
      <c r="S16" s="36">
        <f>COUNT(I16,M16)</f>
        <v>2</v>
      </c>
    </row>
    <row r="17" spans="1:19" ht="18" customHeight="1" thickBot="1">
      <c r="A17" s="104">
        <v>43</v>
      </c>
      <c r="B17" s="147" t="s">
        <v>150</v>
      </c>
      <c r="C17" s="149"/>
      <c r="D17" s="136" t="s">
        <v>153</v>
      </c>
      <c r="E17" s="132">
        <v>82</v>
      </c>
      <c r="F17" s="33" t="s">
        <v>22</v>
      </c>
      <c r="G17" s="32">
        <v>8</v>
      </c>
      <c r="H17" s="26">
        <f>IF($G17="","",INDEX('1. závod'!$A:$BD,$G17+3,INDEX('Základní list'!$B:$B,MATCH($F17,'Základní list'!$A:$A,0),1)))</f>
        <v>4150</v>
      </c>
      <c r="I17" s="22">
        <f>IF($G17="","",INDEX('1. závod'!$A:$BC,$G17+3,INDEX('Základní list'!$B:$B,MATCH($F17,'Základní list'!$A:$A,0),1)+2))</f>
        <v>2</v>
      </c>
      <c r="J17" s="30" t="s">
        <v>24</v>
      </c>
      <c r="K17" s="31">
        <v>1</v>
      </c>
      <c r="L17" s="59">
        <f>IF($K17="","",INDEX('2. závod'!$A:$BD,$K17+3,INDEX('Základní list'!$B:$B,MATCH($J17,'Základní list'!$A:$A,0),1)))</f>
        <v>1960</v>
      </c>
      <c r="M17" s="60">
        <f>IF($K17="","",INDEX('2. závod'!$A:$BD,$K17+3,INDEX('Základní list'!$B:$B,MATCH($J17,'Základní list'!$A:$A,0),1)+2))</f>
        <v>4</v>
      </c>
      <c r="N17" s="28">
        <f>IF($K17="","",SUM(H17,L17))</f>
        <v>6110</v>
      </c>
      <c r="O17" s="58">
        <f>IF($K17="","",SUM(I17,M17))</f>
        <v>6</v>
      </c>
      <c r="P17" s="66">
        <v>9</v>
      </c>
      <c r="Q17" s="36" t="str">
        <f>CONCATENATE(F17,G17)</f>
        <v>C8</v>
      </c>
      <c r="R17" s="36" t="str">
        <f>CONCATENATE(J17,K17)</f>
        <v>F1</v>
      </c>
      <c r="S17" s="36">
        <f>COUNT(I17,M17)</f>
        <v>2</v>
      </c>
    </row>
    <row r="18" spans="1:19" ht="18" customHeight="1" thickBot="1">
      <c r="A18" s="104">
        <v>6</v>
      </c>
      <c r="B18" s="135" t="s">
        <v>113</v>
      </c>
      <c r="C18" s="105"/>
      <c r="D18" s="136" t="s">
        <v>114</v>
      </c>
      <c r="E18" s="133">
        <v>2304</v>
      </c>
      <c r="F18" s="106" t="s">
        <v>24</v>
      </c>
      <c r="G18" s="105">
        <v>2</v>
      </c>
      <c r="H18" s="107">
        <f>IF($G18="","",INDEX('1. závod'!$A:$BD,$G18+3,INDEX('Základní list'!$B:$B,MATCH($F18,'Základní list'!$A:$A,0),1)))</f>
        <v>2340</v>
      </c>
      <c r="I18" s="108">
        <f>IF($G18="","",INDEX('1. závod'!$A:$BC,$G18+3,INDEX('Základní list'!$B:$B,MATCH($F18,'Základní list'!$A:$A,0),1)+2))</f>
        <v>3</v>
      </c>
      <c r="J18" s="104" t="s">
        <v>20</v>
      </c>
      <c r="K18" s="109">
        <v>4</v>
      </c>
      <c r="L18" s="110">
        <f>IF($K18="","",INDEX('2. závod'!$A:$BD,$K18+3,INDEX('Základní list'!$B:$B,MATCH($J18,'Základní list'!$A:$A,0),1)))</f>
        <v>2460</v>
      </c>
      <c r="M18" s="111">
        <f>IF($K18="","",INDEX('2. závod'!$A:$BD,$K18+3,INDEX('Základní list'!$B:$B,MATCH($J18,'Základní list'!$A:$A,0),1)+2))</f>
        <v>3</v>
      </c>
      <c r="N18" s="112">
        <f>IF($K18="","",SUM(H18,L18))</f>
        <v>4800</v>
      </c>
      <c r="O18" s="113">
        <f>IF($K18="","",SUM(I18,M18))</f>
        <v>6</v>
      </c>
      <c r="P18" s="114">
        <v>10</v>
      </c>
      <c r="Q18" s="36" t="str">
        <f>CONCATENATE(F18,G18)</f>
        <v>F2</v>
      </c>
      <c r="R18" s="36" t="str">
        <f>CONCATENATE(J18,K18)</f>
        <v>D4</v>
      </c>
      <c r="S18" s="36">
        <f>COUNT(I18,M18)</f>
        <v>2</v>
      </c>
    </row>
    <row r="19" spans="1:19" ht="18" customHeight="1" collapsed="1" thickBot="1">
      <c r="A19" s="104">
        <v>11</v>
      </c>
      <c r="B19" s="147" t="s">
        <v>119</v>
      </c>
      <c r="C19" s="149"/>
      <c r="D19" s="136" t="s">
        <v>92</v>
      </c>
      <c r="E19" s="132">
        <v>2637</v>
      </c>
      <c r="F19" s="106" t="s">
        <v>24</v>
      </c>
      <c r="G19" s="105">
        <v>1</v>
      </c>
      <c r="H19" s="107">
        <f>IF($G19="","",INDEX('1. závod'!$A:$BD,$G19+3,INDEX('Základní list'!$B:$B,MATCH($F19,'Základní list'!$A:$A,0),1)))</f>
        <v>2280</v>
      </c>
      <c r="I19" s="108">
        <f>IF($G19="","",INDEX('1. závod'!$A:$BC,$G19+3,INDEX('Základní list'!$B:$B,MATCH($F19,'Základní list'!$A:$A,0),1)+2))</f>
        <v>4</v>
      </c>
      <c r="J19" s="104" t="s">
        <v>22</v>
      </c>
      <c r="K19" s="109">
        <v>3</v>
      </c>
      <c r="L19" s="110">
        <f>IF($K19="","",INDEX('2. závod'!$A:$BD,$K19+3,INDEX('Základní list'!$B:$B,MATCH($J19,'Základní list'!$A:$A,0),1)))</f>
        <v>1850</v>
      </c>
      <c r="M19" s="111">
        <f>IF($K19="","",INDEX('2. závod'!$A:$BD,$K19+3,INDEX('Základní list'!$B:$B,MATCH($J19,'Základní list'!$A:$A,0),1)+2))</f>
        <v>2</v>
      </c>
      <c r="N19" s="112">
        <f>IF($K19="","",SUM(H19,L19))</f>
        <v>4130</v>
      </c>
      <c r="O19" s="113">
        <f>IF($K19="","",SUM(I19,M19))</f>
        <v>6</v>
      </c>
      <c r="P19" s="114">
        <v>11</v>
      </c>
      <c r="Q19" s="36" t="str">
        <f>CONCATENATE(F19,G19)</f>
        <v>F1</v>
      </c>
      <c r="R19" s="36" t="str">
        <f>CONCATENATE(J19,K19)</f>
        <v>C3</v>
      </c>
      <c r="S19" s="36">
        <f>COUNT(I19,M19)</f>
        <v>2</v>
      </c>
    </row>
    <row r="20" spans="1:19" ht="18" customHeight="1" thickBot="1">
      <c r="A20" s="104">
        <v>54</v>
      </c>
      <c r="B20" s="134" t="s">
        <v>162</v>
      </c>
      <c r="C20" s="32"/>
      <c r="D20" s="136" t="s">
        <v>163</v>
      </c>
      <c r="E20" s="132">
        <v>2492</v>
      </c>
      <c r="F20" s="156" t="s">
        <v>19</v>
      </c>
      <c r="G20" s="32">
        <v>5</v>
      </c>
      <c r="H20" s="26">
        <f>IF($G20="","",INDEX('1. závod'!$A:$BD,$G20+3,INDEX('Základní list'!$B:$B,MATCH($F20,'Základní list'!$A:$A,0),1)))</f>
        <v>6050</v>
      </c>
      <c r="I20" s="157">
        <f>IF($G20="","",INDEX('1. závod'!$A:$BC,$G20+3,INDEX('Základní list'!$B:$B,MATCH($F20,'Základní list'!$A:$A,0),1)+2))</f>
        <v>1</v>
      </c>
      <c r="J20" s="30" t="s">
        <v>20</v>
      </c>
      <c r="K20" s="31">
        <v>5</v>
      </c>
      <c r="L20" s="59">
        <f>IF($K20="","",INDEX('2. závod'!$A:$BD,$K20+3,INDEX('Základní list'!$B:$B,MATCH($J20,'Základní list'!$A:$A,0),1)))</f>
        <v>1420</v>
      </c>
      <c r="M20" s="60">
        <f>IF($K20="","",INDEX('2. závod'!$A:$BD,$K20+3,INDEX('Základní list'!$B:$B,MATCH($J20,'Základní list'!$A:$A,0),1)+2))</f>
        <v>6</v>
      </c>
      <c r="N20" s="28">
        <f>IF($K20="","",SUM(H20,L20))</f>
        <v>7470</v>
      </c>
      <c r="O20" s="58">
        <f>IF($K20="","",SUM(I20,M20))</f>
        <v>7</v>
      </c>
      <c r="P20" s="66">
        <f>IF($N20="","",RANK(O20,O:O,1))</f>
        <v>12</v>
      </c>
      <c r="Q20" s="36" t="str">
        <f>CONCATENATE(F20,G20)</f>
        <v>A5</v>
      </c>
      <c r="R20" s="36" t="str">
        <f>CONCATENATE(J20,K20)</f>
        <v>D5</v>
      </c>
      <c r="S20" s="36">
        <f>COUNT(I20,M20)</f>
        <v>2</v>
      </c>
    </row>
    <row r="21" spans="1:19" s="17" customFormat="1" ht="18" customHeight="1" thickBot="1">
      <c r="A21" s="104">
        <v>21</v>
      </c>
      <c r="B21" s="135" t="s">
        <v>128</v>
      </c>
      <c r="C21" s="105"/>
      <c r="D21" s="136" t="s">
        <v>95</v>
      </c>
      <c r="E21" s="133">
        <v>2317</v>
      </c>
      <c r="F21" s="106" t="s">
        <v>24</v>
      </c>
      <c r="G21" s="105">
        <v>8</v>
      </c>
      <c r="H21" s="107">
        <f>IF($G21="","",INDEX('1. závod'!$A:$BD,$G21+3,INDEX('Základní list'!$B:$B,MATCH($F21,'Základní list'!$A:$A,0),1)))</f>
        <v>1600</v>
      </c>
      <c r="I21" s="108">
        <f>IF($G21="","",INDEX('1. závod'!$A:$BC,$G21+3,INDEX('Základní list'!$B:$B,MATCH($F21,'Základní list'!$A:$A,0),1)+2))</f>
        <v>6</v>
      </c>
      <c r="J21" s="159" t="s">
        <v>23</v>
      </c>
      <c r="K21" s="109">
        <v>4</v>
      </c>
      <c r="L21" s="110">
        <f>IF($K21="","",INDEX('2. závod'!$A:$BD,$K21+3,INDEX('Základní list'!$B:$B,MATCH($J21,'Základní list'!$A:$A,0),1)))</f>
        <v>3650</v>
      </c>
      <c r="M21" s="158">
        <f>IF($K21="","",INDEX('2. závod'!$A:$BD,$K21+3,INDEX('Základní list'!$B:$B,MATCH($J21,'Základní list'!$A:$A,0),1)+2))</f>
        <v>1</v>
      </c>
      <c r="N21" s="112">
        <f>IF($K21="","",SUM(H21,L21))</f>
        <v>5250</v>
      </c>
      <c r="O21" s="113">
        <f>IF($K21="","",SUM(I21,M21))</f>
        <v>7</v>
      </c>
      <c r="P21" s="114">
        <v>13</v>
      </c>
      <c r="Q21" s="36" t="str">
        <f>CONCATENATE(F21,G21)</f>
        <v>F8</v>
      </c>
      <c r="R21" s="36" t="str">
        <f>CONCATENATE(J21,K21)</f>
        <v>B4</v>
      </c>
      <c r="S21" s="36">
        <f>COUNT(I21,M21)</f>
        <v>2</v>
      </c>
    </row>
    <row r="22" spans="1:19" ht="18" customHeight="1" thickBot="1">
      <c r="A22" s="104">
        <v>28</v>
      </c>
      <c r="B22" s="135" t="s">
        <v>134</v>
      </c>
      <c r="C22" s="32"/>
      <c r="D22" s="137" t="s">
        <v>137</v>
      </c>
      <c r="E22" s="133">
        <v>2302</v>
      </c>
      <c r="F22" s="156" t="s">
        <v>24</v>
      </c>
      <c r="G22" s="32">
        <v>5</v>
      </c>
      <c r="H22" s="26">
        <f>IF($G22="","",INDEX('1. závod'!$A:$BD,$G22+3,INDEX('Základní list'!$B:$B,MATCH($F22,'Základní list'!$A:$A,0),1)))</f>
        <v>3480</v>
      </c>
      <c r="I22" s="157">
        <f>IF($G22="","",INDEX('1. závod'!$A:$BC,$G22+3,INDEX('Základní list'!$B:$B,MATCH($F22,'Základní list'!$A:$A,0),1)+2))</f>
        <v>1</v>
      </c>
      <c r="J22" s="30" t="s">
        <v>21</v>
      </c>
      <c r="K22" s="31">
        <v>3</v>
      </c>
      <c r="L22" s="59">
        <f>IF($K22="","",INDEX('2. závod'!$A:$BD,$K22+3,INDEX('Základní list'!$B:$B,MATCH($J22,'Základní list'!$A:$A,0),1)))</f>
        <v>1600</v>
      </c>
      <c r="M22" s="60">
        <f>IF($K22="","",INDEX('2. závod'!$A:$BD,$K22+3,INDEX('Základní list'!$B:$B,MATCH($J22,'Základní list'!$A:$A,0),1)+2))</f>
        <v>6</v>
      </c>
      <c r="N22" s="28">
        <f>IF($K22="","",SUM(H22,L22))</f>
        <v>5080</v>
      </c>
      <c r="O22" s="58">
        <f>IF($K22="","",SUM(I22,M22))</f>
        <v>7</v>
      </c>
      <c r="P22" s="66">
        <v>14</v>
      </c>
      <c r="Q22" s="36" t="str">
        <f>CONCATENATE(F22,G22)</f>
        <v>F5</v>
      </c>
      <c r="R22" s="36" t="str">
        <f>CONCATENATE(J22,K22)</f>
        <v>E3</v>
      </c>
      <c r="S22" s="36">
        <f>COUNT(I22,M22)</f>
        <v>2</v>
      </c>
    </row>
    <row r="23" spans="1:19" ht="18" customHeight="1" thickBot="1">
      <c r="A23" s="104">
        <v>32</v>
      </c>
      <c r="B23" s="134" t="s">
        <v>139</v>
      </c>
      <c r="C23" s="32"/>
      <c r="D23" s="136" t="s">
        <v>99</v>
      </c>
      <c r="E23" s="132">
        <v>2263</v>
      </c>
      <c r="F23" s="33" t="s">
        <v>21</v>
      </c>
      <c r="G23" s="32">
        <v>5</v>
      </c>
      <c r="H23" s="26">
        <f>IF($G23="","",INDEX('1. závod'!$A:$BD,$G23+3,INDEX('Základní list'!$B:$B,MATCH($F23,'Základní list'!$A:$A,0),1)))</f>
        <v>1820</v>
      </c>
      <c r="I23" s="22">
        <f>IF($G23="","",INDEX('1. závod'!$A:$BC,$G23+3,INDEX('Základní list'!$B:$B,MATCH($F23,'Základní list'!$A:$A,0),1)+2))</f>
        <v>4</v>
      </c>
      <c r="J23" s="30" t="s">
        <v>22</v>
      </c>
      <c r="K23" s="31">
        <v>4</v>
      </c>
      <c r="L23" s="59">
        <f>IF($K23="","",INDEX('2. závod'!$A:$BD,$K23+3,INDEX('Základní list'!$B:$B,MATCH($J23,'Základní list'!$A:$A,0),1)))</f>
        <v>1550</v>
      </c>
      <c r="M23" s="60">
        <f>IF($K23="","",INDEX('2. závod'!$A:$BD,$K23+3,INDEX('Základní list'!$B:$B,MATCH($J23,'Základní list'!$A:$A,0),1)+2))</f>
        <v>3</v>
      </c>
      <c r="N23" s="28">
        <f>IF($K23="","",SUM(H23,L23))</f>
        <v>3370</v>
      </c>
      <c r="O23" s="58">
        <f>IF($K23="","",SUM(I23,M23))</f>
        <v>7</v>
      </c>
      <c r="P23" s="66">
        <v>15</v>
      </c>
      <c r="Q23" s="36" t="str">
        <f>CONCATENATE(F23,G23)</f>
        <v>E5</v>
      </c>
      <c r="R23" s="36" t="str">
        <f>CONCATENATE(J23,K23)</f>
        <v>C4</v>
      </c>
      <c r="S23" s="36">
        <f>COUNT(I23,M23)</f>
        <v>2</v>
      </c>
    </row>
    <row r="24" spans="1:19" s="17" customFormat="1" ht="18" customHeight="1" thickBot="1">
      <c r="A24" s="104">
        <v>42</v>
      </c>
      <c r="B24" s="135" t="s">
        <v>149</v>
      </c>
      <c r="C24" s="32"/>
      <c r="D24" s="137" t="s">
        <v>102</v>
      </c>
      <c r="E24" s="154">
        <v>1080</v>
      </c>
      <c r="F24" s="156" t="s">
        <v>22</v>
      </c>
      <c r="G24" s="32">
        <v>10</v>
      </c>
      <c r="H24" s="26">
        <f>IF($G24="","",INDEX('1. závod'!$A:$BD,$G24+3,INDEX('Základní list'!$B:$B,MATCH($F24,'Základní list'!$A:$A,0),1)))</f>
        <v>11850</v>
      </c>
      <c r="I24" s="157">
        <f>IF($G24="","",INDEX('1. závod'!$A:$BC,$G24+3,INDEX('Základní list'!$B:$B,MATCH($F24,'Základní list'!$A:$A,0),1)+2))</f>
        <v>1</v>
      </c>
      <c r="J24" s="30" t="s">
        <v>21</v>
      </c>
      <c r="K24" s="31">
        <v>4</v>
      </c>
      <c r="L24" s="59">
        <f>IF($K24="","",INDEX('2. závod'!$A:$BD,$K24+3,INDEX('Základní list'!$B:$B,MATCH($J24,'Základní list'!$A:$A,0),1)))</f>
        <v>1000</v>
      </c>
      <c r="M24" s="60">
        <f>IF($K24="","",INDEX('2. závod'!$A:$BD,$K24+3,INDEX('Základní list'!$B:$B,MATCH($J24,'Základní list'!$A:$A,0),1)+2))</f>
        <v>7</v>
      </c>
      <c r="N24" s="28">
        <f>IF($K24="","",SUM(H24,L24))</f>
        <v>12850</v>
      </c>
      <c r="O24" s="58">
        <f>IF($K24="","",SUM(I24,M24))</f>
        <v>8</v>
      </c>
      <c r="P24" s="66">
        <f>IF($N24="","",RANK(O24,O:O,1))</f>
        <v>16</v>
      </c>
      <c r="Q24" s="36" t="str">
        <f>CONCATENATE(F24,G24)</f>
        <v>C10</v>
      </c>
      <c r="R24" s="36" t="str">
        <f>CONCATENATE(J24,K24)</f>
        <v>E4</v>
      </c>
      <c r="S24" s="36">
        <f>COUNT(I24,M24)</f>
        <v>2</v>
      </c>
    </row>
    <row r="25" spans="1:19" s="17" customFormat="1" ht="18" customHeight="1" thickBot="1">
      <c r="A25" s="104">
        <v>52</v>
      </c>
      <c r="B25" s="134" t="s">
        <v>160</v>
      </c>
      <c r="C25" s="32"/>
      <c r="D25" s="136" t="s">
        <v>163</v>
      </c>
      <c r="E25" s="133">
        <v>2373</v>
      </c>
      <c r="F25" s="156" t="s">
        <v>21</v>
      </c>
      <c r="G25" s="32">
        <v>2</v>
      </c>
      <c r="H25" s="26">
        <f>IF($G25="","",INDEX('1. závod'!$A:$BD,$G25+3,INDEX('Základní list'!$B:$B,MATCH($F25,'Základní list'!$A:$A,0),1)))</f>
        <v>2960</v>
      </c>
      <c r="I25" s="157">
        <f>IF($G25="","",INDEX('1. závod'!$A:$BC,$G25+3,INDEX('Základní list'!$B:$B,MATCH($F25,'Základní list'!$A:$A,0),1)+2))</f>
        <v>1</v>
      </c>
      <c r="J25" s="30" t="s">
        <v>23</v>
      </c>
      <c r="K25" s="31">
        <v>1</v>
      </c>
      <c r="L25" s="59">
        <f>IF($K25="","",INDEX('2. závod'!$A:$BD,$K25+3,INDEX('Základní list'!$B:$B,MATCH($J25,'Základní list'!$A:$A,0),1)))</f>
        <v>1150</v>
      </c>
      <c r="M25" s="60">
        <f>IF($K25="","",INDEX('2. závod'!$A:$BD,$K25+3,INDEX('Základní list'!$B:$B,MATCH($J25,'Základní list'!$A:$A,0),1)+2))</f>
        <v>7</v>
      </c>
      <c r="N25" s="28">
        <f>IF($K25="","",SUM(H25,L25))</f>
        <v>4110</v>
      </c>
      <c r="O25" s="58">
        <f>IF($K25="","",SUM(I25,M25))</f>
        <v>8</v>
      </c>
      <c r="P25" s="66">
        <v>17</v>
      </c>
      <c r="Q25" s="36" t="str">
        <f>CONCATENATE(F25,G25)</f>
        <v>E2</v>
      </c>
      <c r="R25" s="36" t="str">
        <f>CONCATENATE(J25,K25)</f>
        <v>B1</v>
      </c>
      <c r="S25" s="36">
        <f>COUNT(I25,M25)</f>
        <v>2</v>
      </c>
    </row>
    <row r="26" spans="1:19" ht="18" customHeight="1" thickBot="1">
      <c r="A26" s="104">
        <v>49</v>
      </c>
      <c r="B26" s="134" t="s">
        <v>156</v>
      </c>
      <c r="C26" s="32"/>
      <c r="D26" s="136" t="s">
        <v>159</v>
      </c>
      <c r="E26" s="132">
        <v>2286</v>
      </c>
      <c r="F26" s="33" t="s">
        <v>23</v>
      </c>
      <c r="G26" s="32">
        <v>8</v>
      </c>
      <c r="H26" s="26">
        <f>IF($G26="","",INDEX('1. závod'!$A:$BD,$G26+3,INDEX('Základní list'!$B:$B,MATCH($F26,'Základní list'!$A:$A,0),1)))</f>
        <v>1300</v>
      </c>
      <c r="I26" s="22">
        <f>IF($G26="","",INDEX('1. závod'!$A:$BC,$G26+3,INDEX('Základní list'!$B:$B,MATCH($F26,'Základní list'!$A:$A,0),1)+2))</f>
        <v>5.5</v>
      </c>
      <c r="J26" s="30" t="s">
        <v>21</v>
      </c>
      <c r="K26" s="31">
        <v>7</v>
      </c>
      <c r="L26" s="59">
        <f>IF($K26="","",INDEX('2. závod'!$A:$BD,$K26+3,INDEX('Základní list'!$B:$B,MATCH($J26,'Základní list'!$A:$A,0),1)))</f>
        <v>2820</v>
      </c>
      <c r="M26" s="60">
        <f>IF($K26="","",INDEX('2. závod'!$A:$BD,$K26+3,INDEX('Základní list'!$B:$B,MATCH($J26,'Základní list'!$A:$A,0),1)+2))</f>
        <v>3</v>
      </c>
      <c r="N26" s="28">
        <f>IF($K26="","",SUM(H26,L26))</f>
        <v>4120</v>
      </c>
      <c r="O26" s="58">
        <f>IF($K26="","",SUM(I26,M26))</f>
        <v>8.5</v>
      </c>
      <c r="P26" s="66">
        <f>IF($N26="","",RANK(O26,O:O,1))</f>
        <v>18</v>
      </c>
      <c r="Q26" s="36" t="str">
        <f>CONCATENATE(F26,G26)</f>
        <v>B8</v>
      </c>
      <c r="R26" s="36" t="str">
        <f>CONCATENATE(J26,K26)</f>
        <v>E7</v>
      </c>
      <c r="S26" s="36">
        <f>COUNT(I26,M26)</f>
        <v>2</v>
      </c>
    </row>
    <row r="27" spans="1:19" s="17" customFormat="1" ht="18" customHeight="1" thickBot="1">
      <c r="A27" s="104">
        <v>33</v>
      </c>
      <c r="B27" s="135" t="s">
        <v>140</v>
      </c>
      <c r="C27" s="32"/>
      <c r="D27" s="136" t="s">
        <v>99</v>
      </c>
      <c r="E27" s="133">
        <v>2284</v>
      </c>
      <c r="F27" s="33" t="s">
        <v>19</v>
      </c>
      <c r="G27" s="32">
        <v>6</v>
      </c>
      <c r="H27" s="26">
        <f>IF($G27="","",INDEX('1. závod'!$A:$BD,$G27+3,INDEX('Základní list'!$B:$B,MATCH($F27,'Základní list'!$A:$A,0),1)))</f>
        <v>4100</v>
      </c>
      <c r="I27" s="22">
        <f>IF($G27="","",INDEX('1. závod'!$A:$BC,$G27+3,INDEX('Základní list'!$B:$B,MATCH($F27,'Základní list'!$A:$A,0),1)+2))</f>
        <v>4</v>
      </c>
      <c r="J27" s="30" t="s">
        <v>21</v>
      </c>
      <c r="K27" s="31">
        <v>6</v>
      </c>
      <c r="L27" s="59">
        <f>IF($K27="","",INDEX('2. závod'!$A:$BD,$K27+3,INDEX('Základní list'!$B:$B,MATCH($J27,'Základní list'!$A:$A,0),1)))</f>
        <v>2340</v>
      </c>
      <c r="M27" s="60">
        <f>IF($K27="","",INDEX('2. závod'!$A:$BD,$K27+3,INDEX('Základní list'!$B:$B,MATCH($J27,'Základní list'!$A:$A,0),1)+2))</f>
        <v>5</v>
      </c>
      <c r="N27" s="28">
        <f>IF($K27="","",SUM(H27,L27))</f>
        <v>6440</v>
      </c>
      <c r="O27" s="58">
        <f>IF($K27="","",SUM(I27,M27))</f>
        <v>9</v>
      </c>
      <c r="P27" s="66">
        <f>IF($N27="","",RANK(O27,O:O,1))</f>
        <v>19</v>
      </c>
      <c r="Q27" s="36" t="str">
        <f>CONCATENATE(F27,G27)</f>
        <v>A6</v>
      </c>
      <c r="R27" s="36" t="str">
        <f>CONCATENATE(J27,K27)</f>
        <v>E6</v>
      </c>
      <c r="S27" s="36">
        <f>COUNT(I27,M27)</f>
        <v>2</v>
      </c>
    </row>
    <row r="28" spans="1:19" ht="18" customHeight="1" thickBot="1">
      <c r="A28" s="104">
        <v>15</v>
      </c>
      <c r="B28" s="135" t="s">
        <v>122</v>
      </c>
      <c r="C28" s="105"/>
      <c r="D28" s="136" t="s">
        <v>93</v>
      </c>
      <c r="E28" s="133">
        <v>2506</v>
      </c>
      <c r="F28" s="106" t="s">
        <v>24</v>
      </c>
      <c r="G28" s="105">
        <v>6</v>
      </c>
      <c r="H28" s="107">
        <f>IF($G28="","",INDEX('1. závod'!$A:$BD,$G28+3,INDEX('Základní list'!$B:$B,MATCH($F28,'Základní list'!$A:$A,0),1)))</f>
        <v>3280</v>
      </c>
      <c r="I28" s="108">
        <f>IF($G28="","",INDEX('1. závod'!$A:$BC,$G28+3,INDEX('Základní list'!$B:$B,MATCH($F28,'Základní list'!$A:$A,0),1)+2))</f>
        <v>2</v>
      </c>
      <c r="J28" s="104" t="s">
        <v>20</v>
      </c>
      <c r="K28" s="109">
        <v>6</v>
      </c>
      <c r="L28" s="110">
        <f>IF($K28="","",INDEX('2. závod'!$A:$BD,$K28+3,INDEX('Základní list'!$B:$B,MATCH($J28,'Základní list'!$A:$A,0),1)))</f>
        <v>1040</v>
      </c>
      <c r="M28" s="111">
        <f>IF($K28="","",INDEX('2. závod'!$A:$BD,$K28+3,INDEX('Základní list'!$B:$B,MATCH($J28,'Základní list'!$A:$A,0),1)+2))</f>
        <v>7</v>
      </c>
      <c r="N28" s="112">
        <f>IF($K28="","",SUM(H28,L28))</f>
        <v>4320</v>
      </c>
      <c r="O28" s="113">
        <f>IF($K28="","",SUM(I28,M28))</f>
        <v>9</v>
      </c>
      <c r="P28" s="114">
        <v>20</v>
      </c>
      <c r="Q28" s="36" t="str">
        <f>CONCATENATE(F28,G28)</f>
        <v>F6</v>
      </c>
      <c r="R28" s="36" t="str">
        <f>CONCATENATE(J28,K28)</f>
        <v>D6</v>
      </c>
      <c r="S28" s="36">
        <f>COUNT(I28,M28)</f>
        <v>2</v>
      </c>
    </row>
    <row r="29" spans="1:19" ht="18" customHeight="1" thickBot="1">
      <c r="A29" s="104">
        <v>46</v>
      </c>
      <c r="B29" s="134" t="s">
        <v>154</v>
      </c>
      <c r="C29" s="32"/>
      <c r="D29" s="136" t="s">
        <v>104</v>
      </c>
      <c r="E29" s="132">
        <v>2309</v>
      </c>
      <c r="F29" s="33" t="s">
        <v>24</v>
      </c>
      <c r="G29" s="32">
        <v>9</v>
      </c>
      <c r="H29" s="26">
        <f>IF($G29="","",INDEX('1. závod'!$A:$BD,$G29+3,INDEX('Základní list'!$B:$B,MATCH($F29,'Základní list'!$A:$A,0),1)))</f>
        <v>660</v>
      </c>
      <c r="I29" s="22">
        <f>IF($G29="","",INDEX('1. závod'!$A:$BC,$G29+3,INDEX('Základní list'!$B:$B,MATCH($F29,'Základní list'!$A:$A,0),1)+2))</f>
        <v>7</v>
      </c>
      <c r="J29" s="30" t="s">
        <v>24</v>
      </c>
      <c r="K29" s="31">
        <v>5</v>
      </c>
      <c r="L29" s="59">
        <f>IF($K29="","",INDEX('2. závod'!$A:$BD,$K29+3,INDEX('Základní list'!$B:$B,MATCH($J29,'Základní list'!$A:$A,0),1)))</f>
        <v>2940</v>
      </c>
      <c r="M29" s="60">
        <f>IF($K29="","",INDEX('2. závod'!$A:$BD,$K29+3,INDEX('Základní list'!$B:$B,MATCH($J29,'Základní list'!$A:$A,0),1)+2))</f>
        <v>2</v>
      </c>
      <c r="N29" s="28">
        <f>IF($K29="","",SUM(H29,L29))</f>
        <v>3600</v>
      </c>
      <c r="O29" s="58">
        <f>IF($K29="","",SUM(I29,M29))</f>
        <v>9</v>
      </c>
      <c r="P29" s="66">
        <v>21</v>
      </c>
      <c r="Q29" s="36" t="str">
        <f>CONCATENATE(F29,G29)</f>
        <v>F9</v>
      </c>
      <c r="R29" s="36" t="str">
        <f>CONCATENATE(J29,K29)</f>
        <v>F5</v>
      </c>
      <c r="S29" s="36">
        <f>COUNT(I29,M29)</f>
        <v>2</v>
      </c>
    </row>
    <row r="30" spans="1:19" ht="18" customHeight="1" collapsed="1" thickBot="1">
      <c r="A30" s="104">
        <v>9</v>
      </c>
      <c r="B30" s="145" t="s">
        <v>117</v>
      </c>
      <c r="C30" s="105"/>
      <c r="D30" s="136" t="s">
        <v>91</v>
      </c>
      <c r="E30" s="133">
        <v>2319</v>
      </c>
      <c r="F30" s="106" t="s">
        <v>20</v>
      </c>
      <c r="G30" s="105">
        <v>9</v>
      </c>
      <c r="H30" s="107">
        <f>IF($G30="","",INDEX('1. závod'!$A:$BD,$G30+3,INDEX('Základní list'!$B:$B,MATCH($F30,'Základní list'!$A:$A,0),1)))</f>
        <v>2080</v>
      </c>
      <c r="I30" s="108">
        <f>IF($G30="","",INDEX('1. závod'!$A:$BC,$G30+3,INDEX('Základní list'!$B:$B,MATCH($F30,'Základní list'!$A:$A,0),1)+2))</f>
        <v>7</v>
      </c>
      <c r="J30" s="104" t="s">
        <v>19</v>
      </c>
      <c r="K30" s="109">
        <v>9</v>
      </c>
      <c r="L30" s="110">
        <f>IF($K30="","",INDEX('2. závod'!$A:$BD,$K30+3,INDEX('Základní list'!$B:$B,MATCH($J30,'Základní list'!$A:$A,0),1)))</f>
        <v>2500</v>
      </c>
      <c r="M30" s="111">
        <f>IF($K30="","",INDEX('2. závod'!$A:$BD,$K30+3,INDEX('Základní list'!$B:$B,MATCH($J30,'Základní list'!$A:$A,0),1)+2))</f>
        <v>2.5</v>
      </c>
      <c r="N30" s="112">
        <f>IF($K30="","",SUM(H30,L30))</f>
        <v>4580</v>
      </c>
      <c r="O30" s="113">
        <f>IF($K30="","",SUM(I30,M30))</f>
        <v>9.5</v>
      </c>
      <c r="P30" s="114">
        <f>IF($N30="","",RANK(O30,O:O,1))</f>
        <v>22</v>
      </c>
      <c r="Q30" s="36" t="str">
        <f>CONCATENATE(F30,G30)</f>
        <v>D9</v>
      </c>
      <c r="R30" s="36" t="str">
        <f>CONCATENATE(J30,K30)</f>
        <v>A9</v>
      </c>
      <c r="S30" s="36">
        <f>COUNT(I30,M30)</f>
        <v>2</v>
      </c>
    </row>
    <row r="31" spans="1:19" ht="18" customHeight="1" thickBot="1">
      <c r="A31" s="104">
        <v>29</v>
      </c>
      <c r="B31" s="134" t="s">
        <v>135</v>
      </c>
      <c r="C31" s="32"/>
      <c r="D31" s="137" t="s">
        <v>137</v>
      </c>
      <c r="E31" s="132">
        <v>617</v>
      </c>
      <c r="F31" s="33" t="s">
        <v>19</v>
      </c>
      <c r="G31" s="32">
        <v>10</v>
      </c>
      <c r="H31" s="26">
        <f>IF($G31="","",INDEX('1. závod'!$A:$BD,$G31+3,INDEX('Základní list'!$B:$B,MATCH($F31,'Základní list'!$A:$A,0),1)))</f>
        <v>1500</v>
      </c>
      <c r="I31" s="22">
        <f>IF($G31="","",INDEX('1. závod'!$A:$BC,$G31+3,INDEX('Základní list'!$B:$B,MATCH($F31,'Základní list'!$A:$A,0),1)+2))</f>
        <v>6</v>
      </c>
      <c r="J31" s="30" t="s">
        <v>20</v>
      </c>
      <c r="K31" s="31">
        <v>2</v>
      </c>
      <c r="L31" s="59">
        <f>IF($K31="","",INDEX('2. závod'!$A:$BD,$K31+3,INDEX('Základní list'!$B:$B,MATCH($J31,'Základní list'!$A:$A,0),1)))</f>
        <v>2140</v>
      </c>
      <c r="M31" s="60">
        <f>IF($K31="","",INDEX('2. závod'!$A:$BD,$K31+3,INDEX('Základní list'!$B:$B,MATCH($J31,'Základní list'!$A:$A,0),1)+2))</f>
        <v>4</v>
      </c>
      <c r="N31" s="28">
        <f>IF($K31="","",SUM(H31,L31))</f>
        <v>3640</v>
      </c>
      <c r="O31" s="58">
        <f>IF($K31="","",SUM(I31,M31))</f>
        <v>10</v>
      </c>
      <c r="P31" s="66">
        <f>IF($N31="","",RANK(O31,O:O,1))</f>
        <v>23</v>
      </c>
      <c r="Q31" s="36" t="str">
        <f>CONCATENATE(F31,G31)</f>
        <v>A10</v>
      </c>
      <c r="R31" s="36" t="str">
        <f>CONCATENATE(J31,K31)</f>
        <v>D2</v>
      </c>
      <c r="S31" s="36">
        <f>COUNT(I31,M31)</f>
        <v>2</v>
      </c>
    </row>
    <row r="32" spans="1:19" s="17" customFormat="1" ht="18" customHeight="1" thickBot="1">
      <c r="A32" s="104">
        <v>1</v>
      </c>
      <c r="B32" s="134" t="s">
        <v>109</v>
      </c>
      <c r="C32" s="105"/>
      <c r="D32" s="136" t="s">
        <v>89</v>
      </c>
      <c r="E32" s="132">
        <v>99</v>
      </c>
      <c r="F32" s="106" t="s">
        <v>19</v>
      </c>
      <c r="G32" s="105">
        <v>4</v>
      </c>
      <c r="H32" s="107">
        <f>IF($G32="","",INDEX('1. závod'!$A:$BD,$G32+3,INDEX('Základní list'!$B:$B,MATCH($F32,'Základní list'!$A:$A,0),1)))</f>
        <v>2050</v>
      </c>
      <c r="I32" s="108">
        <f>IF($G32="","",INDEX('1. závod'!$A:$BC,$G32+3,INDEX('Základní list'!$B:$B,MATCH($F32,'Základní list'!$A:$A,0),1)+2))</f>
        <v>5</v>
      </c>
      <c r="J32" s="104" t="s">
        <v>24</v>
      </c>
      <c r="K32" s="109">
        <v>2</v>
      </c>
      <c r="L32" s="110">
        <f>IF($K32="","",INDEX('2. závod'!$A:$BD,$K32+3,INDEX('Základní list'!$B:$B,MATCH($J32,'Základní list'!$A:$A,0),1)))</f>
        <v>1460</v>
      </c>
      <c r="M32" s="111">
        <f>IF($K32="","",INDEX('2. závod'!$A:$BD,$K32+3,INDEX('Základní list'!$B:$B,MATCH($J32,'Základní list'!$A:$A,0),1)+2))</f>
        <v>5</v>
      </c>
      <c r="N32" s="112">
        <f>IF($K32="","",SUM(H32,L32))</f>
        <v>3510</v>
      </c>
      <c r="O32" s="113">
        <f>IF($K32="","",SUM(I32,M32))</f>
        <v>10</v>
      </c>
      <c r="P32" s="114">
        <v>24</v>
      </c>
      <c r="Q32" s="36" t="str">
        <f>CONCATENATE(F32,G32)</f>
        <v>A4</v>
      </c>
      <c r="R32" s="36" t="str">
        <f>CONCATENATE(J32,K32)</f>
        <v>F2</v>
      </c>
      <c r="S32" s="36">
        <f>COUNT(I32,M32)</f>
        <v>2</v>
      </c>
    </row>
    <row r="33" spans="1:19" ht="18" customHeight="1" thickBot="1">
      <c r="A33" s="104">
        <v>38</v>
      </c>
      <c r="B33" s="145" t="s">
        <v>145</v>
      </c>
      <c r="C33" s="149"/>
      <c r="D33" s="136" t="s">
        <v>101</v>
      </c>
      <c r="E33" s="133">
        <v>1125</v>
      </c>
      <c r="F33" s="33" t="s">
        <v>24</v>
      </c>
      <c r="G33" s="32">
        <v>10</v>
      </c>
      <c r="H33" s="26">
        <f>IF($G33="","",INDEX('1. závod'!$A:$BD,$G33+3,INDEX('Základní list'!$B:$B,MATCH($F33,'Základní list'!$A:$A,0),1)))</f>
        <v>1900</v>
      </c>
      <c r="I33" s="22">
        <f>IF($G33="","",INDEX('1. závod'!$A:$BC,$G33+3,INDEX('Základní list'!$B:$B,MATCH($F33,'Základní list'!$A:$A,0),1)+2))</f>
        <v>5</v>
      </c>
      <c r="J33" s="30" t="s">
        <v>22</v>
      </c>
      <c r="K33" s="31">
        <v>6</v>
      </c>
      <c r="L33" s="59">
        <f>IF($K33="","",INDEX('2. závod'!$A:$BD,$K33+3,INDEX('Základní list'!$B:$B,MATCH($J33,'Základní list'!$A:$A,0),1)))</f>
        <v>1200</v>
      </c>
      <c r="M33" s="60">
        <f>IF($K33="","",INDEX('2. závod'!$A:$BD,$K33+3,INDEX('Základní list'!$B:$B,MATCH($J33,'Základní list'!$A:$A,0),1)+2))</f>
        <v>5</v>
      </c>
      <c r="N33" s="28">
        <f>IF($K33="","",SUM(H33,L33))</f>
        <v>3100</v>
      </c>
      <c r="O33" s="58">
        <f>IF($K33="","",SUM(I33,M33))</f>
        <v>10</v>
      </c>
      <c r="P33" s="66">
        <v>25</v>
      </c>
      <c r="Q33" s="36" t="str">
        <f>CONCATENATE(F33,G33)</f>
        <v>F10</v>
      </c>
      <c r="R33" s="36" t="str">
        <f>CONCATENATE(J33,K33)</f>
        <v>C6</v>
      </c>
      <c r="S33" s="36">
        <f>COUNT(I33,M33)</f>
        <v>2</v>
      </c>
    </row>
    <row r="34" spans="1:19" ht="18" customHeight="1" thickBot="1">
      <c r="A34" s="104">
        <v>23</v>
      </c>
      <c r="B34" s="135" t="s">
        <v>130</v>
      </c>
      <c r="C34" s="105"/>
      <c r="D34" s="136" t="s">
        <v>96</v>
      </c>
      <c r="E34" s="133">
        <v>2363</v>
      </c>
      <c r="F34" s="106" t="s">
        <v>21</v>
      </c>
      <c r="G34" s="105">
        <v>3</v>
      </c>
      <c r="H34" s="107">
        <f>IF($G34="","",INDEX('1. závod'!$A:$BD,$G34+3,INDEX('Základní list'!$B:$B,MATCH($F34,'Základní list'!$A:$A,0),1)))</f>
        <v>580</v>
      </c>
      <c r="I34" s="108">
        <f>IF($G34="","",INDEX('1. závod'!$A:$BC,$G34+3,INDEX('Základní list'!$B:$B,MATCH($F34,'Základní list'!$A:$A,0),1)+2))</f>
        <v>8</v>
      </c>
      <c r="J34" s="104" t="s">
        <v>23</v>
      </c>
      <c r="K34" s="109">
        <v>8</v>
      </c>
      <c r="L34" s="110">
        <f>IF($K34="","",INDEX('2. závod'!$A:$BD,$K34+3,INDEX('Základní list'!$B:$B,MATCH($J34,'Základní list'!$A:$A,0),1)))</f>
        <v>2050</v>
      </c>
      <c r="M34" s="111">
        <f>IF($K34="","",INDEX('2. závod'!$A:$BD,$K34+3,INDEX('Základní list'!$B:$B,MATCH($J34,'Základní list'!$A:$A,0),1)+2))</f>
        <v>2</v>
      </c>
      <c r="N34" s="112">
        <f>IF($K34="","",SUM(H34,L34))</f>
        <v>2630</v>
      </c>
      <c r="O34" s="113">
        <f>IF($K34="","",SUM(I34,M34))</f>
        <v>10</v>
      </c>
      <c r="P34" s="114">
        <v>26</v>
      </c>
      <c r="Q34" s="36" t="str">
        <f>CONCATENATE(F34,G34)</f>
        <v>E3</v>
      </c>
      <c r="R34" s="36" t="str">
        <f>CONCATENATE(J34,K34)</f>
        <v>B8</v>
      </c>
      <c r="S34" s="36">
        <f>COUNT(I34,M34)</f>
        <v>2</v>
      </c>
    </row>
    <row r="35" spans="1:19" s="17" customFormat="1" ht="18" customHeight="1" thickBot="1">
      <c r="A35" s="104">
        <v>50</v>
      </c>
      <c r="B35" s="134" t="s">
        <v>157</v>
      </c>
      <c r="C35" s="32"/>
      <c r="D35" s="136" t="s">
        <v>159</v>
      </c>
      <c r="E35" s="132">
        <v>2285</v>
      </c>
      <c r="F35" s="33" t="s">
        <v>20</v>
      </c>
      <c r="G35" s="32">
        <v>7</v>
      </c>
      <c r="H35" s="26">
        <f>IF($G35="","",INDEX('1. závod'!$A:$BD,$G35+3,INDEX('Základní list'!$B:$B,MATCH($F35,'Základní list'!$A:$A,0),1)))</f>
        <v>1760</v>
      </c>
      <c r="I35" s="22">
        <f>IF($G35="","",INDEX('1. závod'!$A:$BC,$G35+3,INDEX('Základní list'!$B:$B,MATCH($F35,'Základní list'!$A:$A,0),1)+2))</f>
        <v>8</v>
      </c>
      <c r="J35" s="30" t="s">
        <v>19</v>
      </c>
      <c r="K35" s="31">
        <v>7</v>
      </c>
      <c r="L35" s="59">
        <f>IF($K35="","",INDEX('2. závod'!$A:$BD,$K35+3,INDEX('Základní list'!$B:$B,MATCH($J35,'Základní list'!$A:$A,0),1)))</f>
        <v>2500</v>
      </c>
      <c r="M35" s="60">
        <f>IF($K35="","",INDEX('2. závod'!$A:$BD,$K35+3,INDEX('Základní list'!$B:$B,MATCH($J35,'Základní list'!$A:$A,0),1)+2))</f>
        <v>2.5</v>
      </c>
      <c r="N35" s="28">
        <f>IF($K35="","",SUM(H35,L35))</f>
        <v>4260</v>
      </c>
      <c r="O35" s="58">
        <f>IF($K35="","",SUM(I35,M35))</f>
        <v>10.5</v>
      </c>
      <c r="P35" s="66">
        <f>IF($N35="","",RANK(O35,O:O,1))</f>
        <v>27</v>
      </c>
      <c r="Q35" s="36" t="str">
        <f>CONCATENATE(F35,G35)</f>
        <v>D7</v>
      </c>
      <c r="R35" s="36" t="str">
        <f>CONCATENATE(J35,K35)</f>
        <v>A7</v>
      </c>
      <c r="S35" s="36">
        <f>COUNT(I35,M35)</f>
        <v>2</v>
      </c>
    </row>
    <row r="36" spans="1:19" ht="18" customHeight="1" thickBot="1">
      <c r="A36" s="104">
        <v>20</v>
      </c>
      <c r="B36" s="135" t="s">
        <v>127</v>
      </c>
      <c r="C36" s="105"/>
      <c r="D36" s="136" t="s">
        <v>95</v>
      </c>
      <c r="E36" s="133">
        <v>2818</v>
      </c>
      <c r="F36" s="106" t="s">
        <v>22</v>
      </c>
      <c r="G36" s="105">
        <v>1</v>
      </c>
      <c r="H36" s="107">
        <f>IF($G36="","",INDEX('1. závod'!$A:$BD,$G36+3,INDEX('Základní list'!$B:$B,MATCH($F36,'Základní list'!$A:$A,0),1)))</f>
        <v>1150</v>
      </c>
      <c r="I36" s="108">
        <f>IF($G36="","",INDEX('1. závod'!$A:$BC,$G36+3,INDEX('Základní list'!$B:$B,MATCH($F36,'Základní list'!$A:$A,0),1)+2))</f>
        <v>6.5</v>
      </c>
      <c r="J36" s="104" t="s">
        <v>21</v>
      </c>
      <c r="K36" s="109">
        <v>8</v>
      </c>
      <c r="L36" s="110">
        <f>IF($K36="","",INDEX('2. závod'!$A:$BD,$K36+3,INDEX('Základní list'!$B:$B,MATCH($J36,'Základní list'!$A:$A,0),1)))</f>
        <v>2700</v>
      </c>
      <c r="M36" s="111">
        <f>IF($K36="","",INDEX('2. závod'!$A:$BD,$K36+3,INDEX('Základní list'!$B:$B,MATCH($J36,'Základní list'!$A:$A,0),1)+2))</f>
        <v>4</v>
      </c>
      <c r="N36" s="112">
        <f>IF($K36="","",SUM(H36,L36))</f>
        <v>3850</v>
      </c>
      <c r="O36" s="113">
        <f>IF($K36="","",SUM(I36,M36))</f>
        <v>10.5</v>
      </c>
      <c r="P36" s="114">
        <v>28</v>
      </c>
      <c r="Q36" s="36" t="str">
        <f>CONCATENATE(F36,G36)</f>
        <v>C1</v>
      </c>
      <c r="R36" s="36" t="str">
        <f>CONCATENATE(J36,K36)</f>
        <v>E8</v>
      </c>
      <c r="S36" s="36">
        <f>COUNT(I36,M36)</f>
        <v>2</v>
      </c>
    </row>
    <row r="37" spans="1:19" ht="18" customHeight="1" thickBot="1">
      <c r="A37" s="104">
        <v>44</v>
      </c>
      <c r="B37" s="145" t="s">
        <v>151</v>
      </c>
      <c r="C37" s="149"/>
      <c r="D37" s="136" t="s">
        <v>153</v>
      </c>
      <c r="E37" s="133">
        <v>2534</v>
      </c>
      <c r="F37" s="33" t="s">
        <v>19</v>
      </c>
      <c r="G37" s="32">
        <v>8</v>
      </c>
      <c r="H37" s="26">
        <f>IF($G37="","",INDEX('1. závod'!$A:$BD,$G37+3,INDEX('Základní list'!$B:$B,MATCH($F37,'Základní list'!$A:$A,0),1)))</f>
        <v>5150</v>
      </c>
      <c r="I37" s="22">
        <f>IF($G37="","",INDEX('1. závod'!$A:$BC,$G37+3,INDEX('Základní list'!$B:$B,MATCH($F37,'Základní list'!$A:$A,0),1)+2))</f>
        <v>3</v>
      </c>
      <c r="J37" s="30" t="s">
        <v>19</v>
      </c>
      <c r="K37" s="31">
        <v>1</v>
      </c>
      <c r="L37" s="59">
        <f>IF($K37="","",INDEX('2. závod'!$A:$BD,$K37+3,INDEX('Základní list'!$B:$B,MATCH($J37,'Základní list'!$A:$A,0),1)))</f>
        <v>950</v>
      </c>
      <c r="M37" s="60">
        <f>IF($K37="","",INDEX('2. závod'!$A:$BD,$K37+3,INDEX('Základní list'!$B:$B,MATCH($J37,'Základní list'!$A:$A,0),1)+2))</f>
        <v>8</v>
      </c>
      <c r="N37" s="28">
        <f>IF($K37="","",SUM(H37,L37))</f>
        <v>6100</v>
      </c>
      <c r="O37" s="58">
        <f>IF($K37="","",SUM(I37,M37))</f>
        <v>11</v>
      </c>
      <c r="P37" s="66">
        <f>IF($N37="","",RANK(O37,O:O,1))</f>
        <v>29</v>
      </c>
      <c r="Q37" s="36" t="str">
        <f>CONCATENATE(F37,G37)</f>
        <v>A8</v>
      </c>
      <c r="R37" s="36" t="str">
        <f>CONCATENATE(J37,K37)</f>
        <v>A1</v>
      </c>
      <c r="S37" s="36">
        <f>COUNT(I37,M37)</f>
        <v>2</v>
      </c>
    </row>
    <row r="38" spans="1:19" s="17" customFormat="1" ht="18" customHeight="1" thickBot="1">
      <c r="A38" s="104">
        <v>5</v>
      </c>
      <c r="B38" s="134" t="s">
        <v>172</v>
      </c>
      <c r="C38" s="105"/>
      <c r="D38" s="136" t="s">
        <v>114</v>
      </c>
      <c r="E38" s="132">
        <v>2305</v>
      </c>
      <c r="F38" s="106" t="s">
        <v>23</v>
      </c>
      <c r="G38" s="105">
        <v>5</v>
      </c>
      <c r="H38" s="107">
        <f>IF($G38="","",INDEX('1. závod'!$A:$BD,$G38+3,INDEX('Základní list'!$B:$B,MATCH($F38,'Základní list'!$A:$A,0),1)))</f>
        <v>1250</v>
      </c>
      <c r="I38" s="108">
        <f>IF($G38="","",INDEX('1. závod'!$A:$BC,$G38+3,INDEX('Základní list'!$B:$B,MATCH($F38,'Základní list'!$A:$A,0),1)+2))</f>
        <v>7</v>
      </c>
      <c r="J38" s="104" t="s">
        <v>19</v>
      </c>
      <c r="K38" s="109">
        <v>3</v>
      </c>
      <c r="L38" s="110">
        <f>IF($K38="","",INDEX('2. závod'!$A:$BD,$K38+3,INDEX('Základní list'!$B:$B,MATCH($J38,'Základní list'!$A:$A,0),1)))</f>
        <v>2450</v>
      </c>
      <c r="M38" s="111">
        <f>IF($K38="","",INDEX('2. závod'!$A:$BD,$K38+3,INDEX('Základní list'!$B:$B,MATCH($J38,'Základní list'!$A:$A,0),1)+2))</f>
        <v>4</v>
      </c>
      <c r="N38" s="112">
        <f>IF($K38="","",SUM(H38,L38))</f>
        <v>3700</v>
      </c>
      <c r="O38" s="113">
        <f>IF($K38="","",SUM(I38,M38))</f>
        <v>11</v>
      </c>
      <c r="P38" s="114">
        <v>30</v>
      </c>
      <c r="Q38" s="36" t="str">
        <f>CONCATENATE(F38,G38)</f>
        <v>B5</v>
      </c>
      <c r="R38" s="36" t="str">
        <f>CONCATENATE(J38,K38)</f>
        <v>A3</v>
      </c>
      <c r="S38" s="36">
        <f>COUNT(I38,M38)</f>
        <v>2</v>
      </c>
    </row>
    <row r="39" spans="1:19" ht="18" customHeight="1" thickBot="1">
      <c r="A39" s="104">
        <v>14</v>
      </c>
      <c r="B39" s="135" t="s">
        <v>121</v>
      </c>
      <c r="C39" s="105"/>
      <c r="D39" s="136" t="s">
        <v>93</v>
      </c>
      <c r="E39" s="133">
        <v>2271</v>
      </c>
      <c r="F39" s="106" t="s">
        <v>23</v>
      </c>
      <c r="G39" s="105">
        <v>7</v>
      </c>
      <c r="H39" s="107">
        <f>IF($G39="","",INDEX('1. závod'!$A:$BD,$G39+3,INDEX('Základní list'!$B:$B,MATCH($F39,'Základní list'!$A:$A,0),1)))</f>
        <v>1050</v>
      </c>
      <c r="I39" s="108">
        <f>IF($G39="","",INDEX('1. závod'!$A:$BC,$G39+3,INDEX('Základní list'!$B:$B,MATCH($F39,'Základní list'!$A:$A,0),1)+2))</f>
        <v>8</v>
      </c>
      <c r="J39" s="104" t="s">
        <v>24</v>
      </c>
      <c r="K39" s="109">
        <v>8</v>
      </c>
      <c r="L39" s="110">
        <f>IF($K39="","",INDEX('2. závod'!$A:$BD,$K39+3,INDEX('Základní list'!$B:$B,MATCH($J39,'Základní list'!$A:$A,0),1)))</f>
        <v>2640</v>
      </c>
      <c r="M39" s="111">
        <f>IF($K39="","",INDEX('2. závod'!$A:$BD,$K39+3,INDEX('Základní list'!$B:$B,MATCH($J39,'Základní list'!$A:$A,0),1)+2))</f>
        <v>3</v>
      </c>
      <c r="N39" s="112">
        <f>IF($K39="","",SUM(H39,L39))</f>
        <v>3690</v>
      </c>
      <c r="O39" s="113">
        <f>IF($K39="","",SUM(I39,M39))</f>
        <v>11</v>
      </c>
      <c r="P39" s="114">
        <v>31</v>
      </c>
      <c r="Q39" s="36" t="str">
        <f>CONCATENATE(F39,G39)</f>
        <v>B7</v>
      </c>
      <c r="R39" s="36" t="str">
        <f>CONCATENATE(J39,K39)</f>
        <v>F8</v>
      </c>
      <c r="S39" s="36">
        <f>COUNT(I39,M39)</f>
        <v>2</v>
      </c>
    </row>
    <row r="40" spans="1:19" s="17" customFormat="1" ht="18" customHeight="1" thickBot="1">
      <c r="A40" s="104">
        <v>34</v>
      </c>
      <c r="B40" s="135" t="s">
        <v>141</v>
      </c>
      <c r="C40" s="32"/>
      <c r="D40" s="136" t="s">
        <v>100</v>
      </c>
      <c r="E40" s="133">
        <v>2298</v>
      </c>
      <c r="F40" s="30" t="s">
        <v>20</v>
      </c>
      <c r="G40" s="31">
        <v>4</v>
      </c>
      <c r="H40" s="26">
        <f>IF($G40="","",INDEX('1. závod'!$A:$BD,$G40+3,INDEX('Základní list'!$B:$B,MATCH($F40,'Základní list'!$A:$A,0),1)))</f>
        <v>2740</v>
      </c>
      <c r="I40" s="22">
        <f>IF($G40="","",INDEX('1. závod'!$A:$BC,$G40+3,INDEX('Základní list'!$B:$B,MATCH($F40,'Základní list'!$A:$A,0),1)+2))</f>
        <v>4</v>
      </c>
      <c r="J40" s="30" t="s">
        <v>24</v>
      </c>
      <c r="K40" s="31">
        <v>7</v>
      </c>
      <c r="L40" s="59">
        <f>IF($K40="","",INDEX('2. závod'!$A:$BD,$K40+3,INDEX('Základní list'!$B:$B,MATCH($J40,'Základní list'!$A:$A,0),1)))</f>
        <v>780</v>
      </c>
      <c r="M40" s="60">
        <f>IF($K40="","",INDEX('2. závod'!$A:$BD,$K40+3,INDEX('Základní list'!$B:$B,MATCH($J40,'Základní list'!$A:$A,0),1)+2))</f>
        <v>7</v>
      </c>
      <c r="N40" s="28">
        <f>IF($K40="","",SUM(H40,L40))</f>
        <v>3520</v>
      </c>
      <c r="O40" s="58">
        <f>IF($K40="","",SUM(I40,M40))</f>
        <v>11</v>
      </c>
      <c r="P40" s="66">
        <v>32</v>
      </c>
      <c r="Q40" s="36" t="str">
        <f>CONCATENATE(F40,G40)</f>
        <v>D4</v>
      </c>
      <c r="R40" s="36" t="str">
        <f>CONCATENATE(J40,K40)</f>
        <v>F7</v>
      </c>
      <c r="S40" s="36">
        <f>COUNT(I40,M40)</f>
        <v>2</v>
      </c>
    </row>
    <row r="41" spans="1:19" ht="18" customHeight="1" thickBot="1">
      <c r="A41" s="104">
        <v>58</v>
      </c>
      <c r="B41" s="147" t="s">
        <v>167</v>
      </c>
      <c r="C41" s="149"/>
      <c r="D41" s="136" t="s">
        <v>108</v>
      </c>
      <c r="E41" s="132">
        <v>345</v>
      </c>
      <c r="F41" s="33" t="s">
        <v>22</v>
      </c>
      <c r="G41" s="32">
        <v>4</v>
      </c>
      <c r="H41" s="26">
        <f>IF($G41="","",INDEX('1. závod'!$A:$BD,$G41+3,INDEX('Základní list'!$B:$B,MATCH($F41,'Základní list'!$A:$A,0),1)))</f>
        <v>1400</v>
      </c>
      <c r="I41" s="22">
        <f>IF($G41="","",INDEX('1. závod'!$A:$BC,$G41+3,INDEX('Základní list'!$B:$B,MATCH($F41,'Základní list'!$A:$A,0),1)+2))</f>
        <v>5</v>
      </c>
      <c r="J41" s="30" t="s">
        <v>24</v>
      </c>
      <c r="K41" s="31">
        <v>10</v>
      </c>
      <c r="L41" s="59">
        <f>IF($K41="","",INDEX('2. závod'!$A:$BD,$K41+3,INDEX('Základní list'!$B:$B,MATCH($J41,'Základní list'!$A:$A,0),1)))</f>
        <v>1340</v>
      </c>
      <c r="M41" s="60">
        <f>IF($K41="","",INDEX('2. závod'!$A:$BD,$K41+3,INDEX('Základní list'!$B:$B,MATCH($J41,'Základní list'!$A:$A,0),1)+2))</f>
        <v>6</v>
      </c>
      <c r="N41" s="28">
        <f>IF($K41="","",SUM(H41,L41))</f>
        <v>2740</v>
      </c>
      <c r="O41" s="58">
        <f>IF($K41="","",SUM(I41,M41))</f>
        <v>11</v>
      </c>
      <c r="P41" s="66">
        <v>33</v>
      </c>
      <c r="Q41" s="36" t="str">
        <f>CONCATENATE(F41,G41)</f>
        <v>C4</v>
      </c>
      <c r="R41" s="36" t="str">
        <f>CONCATENATE(J41,K41)</f>
        <v>F10</v>
      </c>
      <c r="S41" s="36">
        <f>COUNT(I41,M41)</f>
        <v>2</v>
      </c>
    </row>
    <row r="42" spans="1:19" ht="18" customHeight="1" thickBot="1">
      <c r="A42" s="104">
        <v>60</v>
      </c>
      <c r="B42" s="148" t="s">
        <v>168</v>
      </c>
      <c r="C42" s="149"/>
      <c r="D42" s="136" t="s">
        <v>108</v>
      </c>
      <c r="E42" s="133">
        <v>2793</v>
      </c>
      <c r="F42" s="33" t="s">
        <v>21</v>
      </c>
      <c r="G42" s="32">
        <v>1</v>
      </c>
      <c r="H42" s="26">
        <f>IF($G42="","",INDEX('1. závod'!$A:$BD,$G42+3,INDEX('Základní list'!$B:$B,MATCH($F42,'Základní list'!$A:$A,0),1)))</f>
        <v>860</v>
      </c>
      <c r="I42" s="22">
        <f>IF($G42="","",INDEX('1. závod'!$A:$BC,$G42+3,INDEX('Základní list'!$B:$B,MATCH($F42,'Základní list'!$A:$A,0),1)+2))</f>
        <v>6</v>
      </c>
      <c r="J42" s="30" t="s">
        <v>19</v>
      </c>
      <c r="K42" s="31">
        <v>5</v>
      </c>
      <c r="L42" s="59">
        <f>IF($K42="","",INDEX('2. závod'!$A:$BD,$K42+3,INDEX('Základní list'!$B:$B,MATCH($J42,'Základní list'!$A:$A,0),1)))</f>
        <v>1550</v>
      </c>
      <c r="M42" s="60">
        <f>IF($K42="","",INDEX('2. závod'!$A:$BD,$K42+3,INDEX('Základní list'!$B:$B,MATCH($J42,'Základní list'!$A:$A,0),1)+2))</f>
        <v>6</v>
      </c>
      <c r="N42" s="28">
        <f>IF($K42="","",SUM(H42,L42))</f>
        <v>2410</v>
      </c>
      <c r="O42" s="58">
        <f>IF($K42="","",SUM(I42,M42))</f>
        <v>12</v>
      </c>
      <c r="P42" s="66">
        <f>IF($N42="","",RANK(O42,O:O,1))</f>
        <v>34</v>
      </c>
      <c r="Q42" s="36" t="str">
        <f>CONCATENATE(F42,G42)</f>
        <v>E1</v>
      </c>
      <c r="R42" s="36" t="str">
        <f>CONCATENATE(J42,K42)</f>
        <v>A5</v>
      </c>
      <c r="S42" s="36">
        <f>COUNT(I42,M42)</f>
        <v>2</v>
      </c>
    </row>
    <row r="43" spans="1:19" s="17" customFormat="1" ht="18" customHeight="1" thickBot="1">
      <c r="A43" s="104">
        <v>36</v>
      </c>
      <c r="B43" s="135" t="s">
        <v>143</v>
      </c>
      <c r="C43" s="32"/>
      <c r="D43" s="136" t="s">
        <v>100</v>
      </c>
      <c r="E43" s="133">
        <v>2297</v>
      </c>
      <c r="F43" s="33" t="s">
        <v>24</v>
      </c>
      <c r="G43" s="32">
        <v>3</v>
      </c>
      <c r="H43" s="26">
        <f>IF($G43="","",INDEX('1. závod'!$A:$BD,$G43+3,INDEX('Základní list'!$B:$B,MATCH($F43,'Základní list'!$A:$A,0),1)))</f>
        <v>560</v>
      </c>
      <c r="I43" s="22">
        <f>IF($G43="","",INDEX('1. závod'!$A:$BC,$G43+3,INDEX('Základní list'!$B:$B,MATCH($F43,'Základní list'!$A:$A,0),1)+2))</f>
        <v>9</v>
      </c>
      <c r="J43" s="30" t="s">
        <v>23</v>
      </c>
      <c r="K43" s="31">
        <v>10</v>
      </c>
      <c r="L43" s="59">
        <f>IF($K43="","",INDEX('2. závod'!$A:$BD,$K43+3,INDEX('Základní list'!$B:$B,MATCH($J43,'Základní list'!$A:$A,0),1)))</f>
        <v>1800</v>
      </c>
      <c r="M43" s="60">
        <f>IF($K43="","",INDEX('2. závod'!$A:$BD,$K43+3,INDEX('Základní list'!$B:$B,MATCH($J43,'Základní list'!$A:$A,0),1)+2))</f>
        <v>3</v>
      </c>
      <c r="N43" s="28">
        <f>IF($K43="","",SUM(H43,L43))</f>
        <v>2360</v>
      </c>
      <c r="O43" s="58">
        <f>IF($K43="","",SUM(I43,M43))</f>
        <v>12</v>
      </c>
      <c r="P43" s="66">
        <v>35</v>
      </c>
      <c r="Q43" s="36" t="str">
        <f>CONCATENATE(F43,G43)</f>
        <v>F3</v>
      </c>
      <c r="R43" s="36" t="str">
        <f>CONCATENATE(J43,K43)</f>
        <v>B10</v>
      </c>
      <c r="S43" s="36">
        <f>COUNT(I43,M43)</f>
        <v>2</v>
      </c>
    </row>
    <row r="44" spans="1:19" ht="18" customHeight="1" thickBot="1">
      <c r="A44" s="104">
        <v>26</v>
      </c>
      <c r="B44" s="134" t="s">
        <v>132</v>
      </c>
      <c r="C44" s="105"/>
      <c r="D44" s="136" t="s">
        <v>97</v>
      </c>
      <c r="E44" s="132">
        <v>2290</v>
      </c>
      <c r="F44" s="106" t="s">
        <v>23</v>
      </c>
      <c r="G44" s="105">
        <v>6</v>
      </c>
      <c r="H44" s="107">
        <f>IF($G44="","",INDEX('1. závod'!$A:$BD,$G44+3,INDEX('Základní list'!$B:$B,MATCH($F44,'Základní list'!$A:$A,0),1)))</f>
        <v>1450</v>
      </c>
      <c r="I44" s="108">
        <f>IF($G44="","",INDEX('1. závod'!$A:$BC,$G44+3,INDEX('Základní list'!$B:$B,MATCH($F44,'Základní list'!$A:$A,0),1)+2))</f>
        <v>4</v>
      </c>
      <c r="J44" s="104" t="s">
        <v>23</v>
      </c>
      <c r="K44" s="109">
        <v>9</v>
      </c>
      <c r="L44" s="110">
        <f>IF($K44="","",INDEX('2. závod'!$A:$BD,$K44+3,INDEX('Základní list'!$B:$B,MATCH($J44,'Základní list'!$A:$A,0),1)))</f>
        <v>850</v>
      </c>
      <c r="M44" s="111">
        <f>IF($K44="","",INDEX('2. závod'!$A:$BD,$K44+3,INDEX('Základní list'!$B:$B,MATCH($J44,'Základní list'!$A:$A,0),1)+2))</f>
        <v>8</v>
      </c>
      <c r="N44" s="112">
        <f>IF($K44="","",SUM(H44,L44))</f>
        <v>2300</v>
      </c>
      <c r="O44" s="113">
        <f>IF($K44="","",SUM(I44,M44))</f>
        <v>12</v>
      </c>
      <c r="P44" s="114">
        <v>36</v>
      </c>
      <c r="Q44" s="36" t="str">
        <f>CONCATENATE(F44,G44)</f>
        <v>B6</v>
      </c>
      <c r="R44" s="36" t="str">
        <f>CONCATENATE(J44,K44)</f>
        <v>B9</v>
      </c>
      <c r="S44" s="36">
        <f>COUNT(I44,M44)</f>
        <v>2</v>
      </c>
    </row>
    <row r="45" spans="1:19" s="17" customFormat="1" ht="18" customHeight="1" thickBot="1">
      <c r="A45" s="104">
        <v>8</v>
      </c>
      <c r="B45" s="145" t="s">
        <v>116</v>
      </c>
      <c r="C45" s="105"/>
      <c r="D45" s="136" t="s">
        <v>91</v>
      </c>
      <c r="E45" s="133">
        <v>2327</v>
      </c>
      <c r="F45" s="106" t="s">
        <v>21</v>
      </c>
      <c r="G45" s="105">
        <v>4</v>
      </c>
      <c r="H45" s="107">
        <f>IF($G45="","",INDEX('1. závod'!$A:$BD,$G45+3,INDEX('Základní list'!$B:$B,MATCH($F45,'Základní list'!$A:$A,0),1)))</f>
        <v>1840</v>
      </c>
      <c r="I45" s="108">
        <f>IF($G45="","",INDEX('1. závod'!$A:$BC,$G45+3,INDEX('Základní list'!$B:$B,MATCH($F45,'Základní list'!$A:$A,0),1)+2))</f>
        <v>3</v>
      </c>
      <c r="J45" s="104" t="s">
        <v>22</v>
      </c>
      <c r="K45" s="109">
        <v>10</v>
      </c>
      <c r="L45" s="110">
        <f>IF($K45="","",INDEX('2. závod'!$A:$BD,$K45+3,INDEX('Základní list'!$B:$B,MATCH($J45,'Základní list'!$A:$A,0),1)))</f>
        <v>250</v>
      </c>
      <c r="M45" s="111">
        <f>IF($K45="","",INDEX('2. závod'!$A:$BD,$K45+3,INDEX('Základní list'!$B:$B,MATCH($J45,'Základní list'!$A:$A,0),1)+2))</f>
        <v>9</v>
      </c>
      <c r="N45" s="112">
        <f>IF($K45="","",SUM(H45,L45))</f>
        <v>2090</v>
      </c>
      <c r="O45" s="113">
        <f>IF($K45="","",SUM(I45,M45))</f>
        <v>12</v>
      </c>
      <c r="P45" s="114">
        <v>37</v>
      </c>
      <c r="Q45" s="36" t="str">
        <f>CONCATENATE(F45,G45)</f>
        <v>E4</v>
      </c>
      <c r="R45" s="36" t="str">
        <f>CONCATENATE(J45,K45)</f>
        <v>C10</v>
      </c>
      <c r="S45" s="36">
        <f>COUNT(I45,M45)</f>
        <v>2</v>
      </c>
    </row>
    <row r="46" spans="1:19" ht="18" customHeight="1" thickBot="1">
      <c r="A46" s="104">
        <v>22</v>
      </c>
      <c r="B46" s="135" t="s">
        <v>129</v>
      </c>
      <c r="C46" s="105"/>
      <c r="D46" s="136" t="s">
        <v>96</v>
      </c>
      <c r="E46" s="133">
        <v>2225</v>
      </c>
      <c r="F46" s="106" t="s">
        <v>20</v>
      </c>
      <c r="G46" s="105">
        <v>1</v>
      </c>
      <c r="H46" s="107">
        <f>IF($G46="","",INDEX('1. závod'!$A:$BD,$G46+3,INDEX('Základní list'!$B:$B,MATCH($F46,'Základní list'!$A:$A,0),1)))</f>
        <v>2280</v>
      </c>
      <c r="I46" s="108">
        <f>IF($G46="","",INDEX('1. závod'!$A:$BC,$G46+3,INDEX('Základní list'!$B:$B,MATCH($F46,'Základní list'!$A:$A,0),1)+2))</f>
        <v>6</v>
      </c>
      <c r="J46" s="104" t="s">
        <v>22</v>
      </c>
      <c r="K46" s="109">
        <v>7</v>
      </c>
      <c r="L46" s="110">
        <f>IF($K46="","",INDEX('2. závod'!$A:$BD,$K46+3,INDEX('Základní list'!$B:$B,MATCH($J46,'Základní list'!$A:$A,0),1)))</f>
        <v>900</v>
      </c>
      <c r="M46" s="111">
        <f>IF($K46="","",INDEX('2. závod'!$A:$BD,$K46+3,INDEX('Základní list'!$B:$B,MATCH($J46,'Základní list'!$A:$A,0),1)+2))</f>
        <v>6.5</v>
      </c>
      <c r="N46" s="112">
        <f>IF($K46="","",SUM(H46,L46))</f>
        <v>3180</v>
      </c>
      <c r="O46" s="113">
        <f>IF($K46="","",SUM(I46,M46))</f>
        <v>12.5</v>
      </c>
      <c r="P46" s="114">
        <f>IF($N46="","",RANK(O46,O:O,1))</f>
        <v>38</v>
      </c>
      <c r="Q46" s="36" t="str">
        <f>CONCATENATE(F46,G46)</f>
        <v>D1</v>
      </c>
      <c r="R46" s="36" t="str">
        <f>CONCATENATE(J46,K46)</f>
        <v>C7</v>
      </c>
      <c r="S46" s="36">
        <f>COUNT(I46,M46)</f>
        <v>2</v>
      </c>
    </row>
    <row r="47" spans="1:19" ht="18" customHeight="1" thickBot="1">
      <c r="A47" s="104">
        <v>56</v>
      </c>
      <c r="B47" s="146" t="s">
        <v>165</v>
      </c>
      <c r="C47" s="32"/>
      <c r="D47" s="136" t="s">
        <v>107</v>
      </c>
      <c r="E47" s="132">
        <v>2529</v>
      </c>
      <c r="F47" s="33" t="s">
        <v>23</v>
      </c>
      <c r="G47" s="32">
        <v>1</v>
      </c>
      <c r="H47" s="26">
        <f>IF($G47="","",INDEX('1. závod'!$A:$BD,$G47+3,INDEX('Základní list'!$B:$B,MATCH($F47,'Základní list'!$A:$A,0),1)))</f>
        <v>4100</v>
      </c>
      <c r="I47" s="22">
        <f>IF($G47="","",INDEX('1. závod'!$A:$BC,$G47+3,INDEX('Základní list'!$B:$B,MATCH($F47,'Základní list'!$A:$A,0),1)+2))</f>
        <v>3</v>
      </c>
      <c r="J47" s="30" t="s">
        <v>23</v>
      </c>
      <c r="K47" s="31">
        <v>5</v>
      </c>
      <c r="L47" s="59">
        <f>IF($K47="","",INDEX('2. závod'!$A:$BD,$K47+3,INDEX('Základní list'!$B:$B,MATCH($J47,'Základní list'!$A:$A,0),1)))</f>
        <v>650</v>
      </c>
      <c r="M47" s="60">
        <f>IF($K47="","",INDEX('2. závod'!$A:$BD,$K47+3,INDEX('Základní list'!$B:$B,MATCH($J47,'Základní list'!$A:$A,0),1)+2))</f>
        <v>10</v>
      </c>
      <c r="N47" s="28">
        <f>IF($K47="","",SUM(H47,L47))</f>
        <v>4750</v>
      </c>
      <c r="O47" s="58">
        <f>IF($K47="","",SUM(I47,M47))</f>
        <v>13</v>
      </c>
      <c r="P47" s="66">
        <f>IF($N47="","",RANK(O47,O:O,1))</f>
        <v>39</v>
      </c>
      <c r="Q47" s="36" t="str">
        <f>CONCATENATE(F47,G47)</f>
        <v>B1</v>
      </c>
      <c r="R47" s="36" t="str">
        <f>CONCATENATE(J47,K47)</f>
        <v>B5</v>
      </c>
      <c r="S47" s="36">
        <f>COUNT(I47,M47)</f>
        <v>2</v>
      </c>
    </row>
    <row r="48" spans="1:19" ht="18" customHeight="1" thickBot="1">
      <c r="A48" s="104">
        <v>55</v>
      </c>
      <c r="B48" s="135" t="s">
        <v>164</v>
      </c>
      <c r="C48" s="32"/>
      <c r="D48" s="136" t="s">
        <v>107</v>
      </c>
      <c r="E48" s="133">
        <v>2357</v>
      </c>
      <c r="F48" s="33" t="s">
        <v>22</v>
      </c>
      <c r="G48" s="32">
        <v>3</v>
      </c>
      <c r="H48" s="26">
        <f>IF($G48="","",INDEX('1. závod'!$A:$BD,$G48+3,INDEX('Základní list'!$B:$B,MATCH($F48,'Základní list'!$A:$A,0),1)))</f>
        <v>2800</v>
      </c>
      <c r="I48" s="22">
        <f>IF($G48="","",INDEX('1. závod'!$A:$BC,$G48+3,INDEX('Základní list'!$B:$B,MATCH($F48,'Základní list'!$A:$A,0),1)+2))</f>
        <v>3</v>
      </c>
      <c r="J48" s="30" t="s">
        <v>21</v>
      </c>
      <c r="K48" s="31">
        <v>5</v>
      </c>
      <c r="L48" s="59">
        <f>IF($K48="","",INDEX('2. závod'!$A:$BD,$K48+3,INDEX('Základní list'!$B:$B,MATCH($J48,'Základní list'!$A:$A,0),1)))</f>
        <v>240</v>
      </c>
      <c r="M48" s="60">
        <f>IF($K48="","",INDEX('2. závod'!$A:$BD,$K48+3,INDEX('Základní list'!$B:$B,MATCH($J48,'Základní list'!$A:$A,0),1)+2))</f>
        <v>10</v>
      </c>
      <c r="N48" s="28">
        <f>IF($K48="","",SUM(H48,L48))</f>
        <v>3040</v>
      </c>
      <c r="O48" s="58">
        <f>IF($K48="","",SUM(I48,M48))</f>
        <v>13</v>
      </c>
      <c r="P48" s="66">
        <v>40</v>
      </c>
      <c r="Q48" s="36" t="str">
        <f>CONCATENATE(F48,G48)</f>
        <v>C3</v>
      </c>
      <c r="R48" s="36" t="str">
        <f>CONCATENATE(J48,K48)</f>
        <v>E5</v>
      </c>
      <c r="S48" s="36">
        <f>COUNT(I48,M48)</f>
        <v>2</v>
      </c>
    </row>
    <row r="49" spans="1:19" ht="18" customHeight="1" thickBot="1">
      <c r="A49" s="104">
        <v>39</v>
      </c>
      <c r="B49" s="147" t="s">
        <v>146</v>
      </c>
      <c r="C49" s="149"/>
      <c r="D49" s="136" t="s">
        <v>101</v>
      </c>
      <c r="E49" s="153">
        <v>2268</v>
      </c>
      <c r="F49" s="33" t="s">
        <v>19</v>
      </c>
      <c r="G49" s="32">
        <v>9</v>
      </c>
      <c r="H49" s="26">
        <f>IF($G49="","",INDEX('1. závod'!$A:$BD,$G49+3,INDEX('Základní list'!$B:$B,MATCH($F49,'Základní list'!$A:$A,0),1)))</f>
        <v>1100</v>
      </c>
      <c r="I49" s="22">
        <f>IF($G49="","",INDEX('1. závod'!$A:$BC,$G49+3,INDEX('Základní list'!$B:$B,MATCH($F49,'Základní list'!$A:$A,0),1)+2))</f>
        <v>8</v>
      </c>
      <c r="J49" s="30" t="s">
        <v>19</v>
      </c>
      <c r="K49" s="31">
        <v>8</v>
      </c>
      <c r="L49" s="59">
        <f>IF($K49="","",INDEX('2. závod'!$A:$BD,$K49+3,INDEX('Základní list'!$B:$B,MATCH($J49,'Základní list'!$A:$A,0),1)))</f>
        <v>1600</v>
      </c>
      <c r="M49" s="60">
        <f>IF($K49="","",INDEX('2. závod'!$A:$BD,$K49+3,INDEX('Základní list'!$B:$B,MATCH($J49,'Základní list'!$A:$A,0),1)+2))</f>
        <v>5</v>
      </c>
      <c r="N49" s="28">
        <f>IF($K49="","",SUM(H49,L49))</f>
        <v>2700</v>
      </c>
      <c r="O49" s="58">
        <f>IF($K49="","",SUM(I49,M49))</f>
        <v>13</v>
      </c>
      <c r="P49" s="66">
        <v>41</v>
      </c>
      <c r="Q49" s="36" t="str">
        <f>CONCATENATE(F49,G49)</f>
        <v>A9</v>
      </c>
      <c r="R49" s="36" t="str">
        <f>CONCATENATE(J49,K49)</f>
        <v>A8</v>
      </c>
      <c r="S49" s="36">
        <f>COUNT(I49,M49)</f>
        <v>2</v>
      </c>
    </row>
    <row r="50" spans="1:19" s="17" customFormat="1" ht="18" customHeight="1" thickBot="1">
      <c r="A50" s="104">
        <v>27</v>
      </c>
      <c r="B50" s="134" t="s">
        <v>133</v>
      </c>
      <c r="C50" s="105"/>
      <c r="D50" s="136" t="s">
        <v>97</v>
      </c>
      <c r="E50" s="132">
        <v>2750</v>
      </c>
      <c r="F50" s="106" t="s">
        <v>21</v>
      </c>
      <c r="G50" s="105">
        <v>9</v>
      </c>
      <c r="H50" s="107">
        <f>IF($G50="","",INDEX('1. závod'!$A:$BD,$G50+3,INDEX('Základní list'!$B:$B,MATCH($F50,'Základní list'!$A:$A,0),1)))</f>
        <v>1180</v>
      </c>
      <c r="I50" s="108">
        <f>IF($G50="","",INDEX('1. závod'!$A:$BC,$G50+3,INDEX('Základní list'!$B:$B,MATCH($F50,'Základní list'!$A:$A,0),1)+2))</f>
        <v>5</v>
      </c>
      <c r="J50" s="104" t="s">
        <v>21</v>
      </c>
      <c r="K50" s="109">
        <v>1</v>
      </c>
      <c r="L50" s="110">
        <f>IF($K50="","",INDEX('2. závod'!$A:$BD,$K50+3,INDEX('Základní list'!$B:$B,MATCH($J50,'Základní list'!$A:$A,0),1)))</f>
        <v>880</v>
      </c>
      <c r="M50" s="111">
        <f>IF($K50="","",INDEX('2. závod'!$A:$BD,$K50+3,INDEX('Základní list'!$B:$B,MATCH($J50,'Základní list'!$A:$A,0),1)+2))</f>
        <v>8</v>
      </c>
      <c r="N50" s="112">
        <f>IF($K50="","",SUM(H50,L50))</f>
        <v>2060</v>
      </c>
      <c r="O50" s="113">
        <f>IF($K50="","",SUM(I50,M50))</f>
        <v>13</v>
      </c>
      <c r="P50" s="114">
        <v>42</v>
      </c>
      <c r="Q50" s="36" t="str">
        <f>CONCATENATE(F50,G50)</f>
        <v>E9</v>
      </c>
      <c r="R50" s="36" t="str">
        <f>CONCATENATE(J50,K50)</f>
        <v>E1</v>
      </c>
      <c r="S50" s="36">
        <f>COUNT(I50,M50)</f>
        <v>2</v>
      </c>
    </row>
    <row r="51" spans="1:19" ht="18" customHeight="1" thickBot="1">
      <c r="A51" s="104">
        <v>31</v>
      </c>
      <c r="B51" s="145" t="s">
        <v>138</v>
      </c>
      <c r="C51" s="32"/>
      <c r="D51" s="136" t="s">
        <v>99</v>
      </c>
      <c r="E51" s="133">
        <v>753</v>
      </c>
      <c r="F51" s="33" t="s">
        <v>20</v>
      </c>
      <c r="G51" s="32">
        <v>5</v>
      </c>
      <c r="H51" s="26">
        <f>IF($G51="","",INDEX('1. závod'!$A:$BD,$G51+3,INDEX('Základní list'!$B:$B,MATCH($F51,'Základní list'!$A:$A,0),1)))</f>
        <v>2700</v>
      </c>
      <c r="I51" s="22">
        <f>IF($G51="","",INDEX('1. závod'!$A:$BC,$G51+3,INDEX('Základní list'!$B:$B,MATCH($F51,'Základní list'!$A:$A,0),1)+2))</f>
        <v>5</v>
      </c>
      <c r="J51" s="30" t="s">
        <v>19</v>
      </c>
      <c r="K51" s="31">
        <v>4</v>
      </c>
      <c r="L51" s="59">
        <f>IF($K51="","",INDEX('2. závod'!$A:$BD,$K51+3,INDEX('Základní list'!$B:$B,MATCH($J51,'Základní list'!$A:$A,0),1)))</f>
        <v>400</v>
      </c>
      <c r="M51" s="60">
        <f>IF($K51="","",INDEX('2. závod'!$A:$BD,$K51+3,INDEX('Základní list'!$B:$B,MATCH($J51,'Základní list'!$A:$A,0),1)+2))</f>
        <v>9</v>
      </c>
      <c r="N51" s="28">
        <f>IF($K51="","",SUM(H51,L51))</f>
        <v>3100</v>
      </c>
      <c r="O51" s="58">
        <f>IF($K51="","",SUM(I51,M51))</f>
        <v>14</v>
      </c>
      <c r="P51" s="66">
        <f>IF($N51="","",RANK(O51,O:O,1))</f>
        <v>43</v>
      </c>
      <c r="Q51" s="36" t="str">
        <f>CONCATENATE(F51,G51)</f>
        <v>D5</v>
      </c>
      <c r="R51" s="36" t="str">
        <f>CONCATENATE(J51,K51)</f>
        <v>A4</v>
      </c>
      <c r="S51" s="36">
        <f>COUNT(I51,M51)</f>
        <v>2</v>
      </c>
    </row>
    <row r="52" spans="1:19" ht="18" customHeight="1" thickBot="1">
      <c r="A52" s="104">
        <v>3</v>
      </c>
      <c r="B52" s="135" t="s">
        <v>111</v>
      </c>
      <c r="C52" s="105"/>
      <c r="D52" s="136" t="s">
        <v>89</v>
      </c>
      <c r="E52" s="133">
        <v>2789</v>
      </c>
      <c r="F52" s="106" t="s">
        <v>24</v>
      </c>
      <c r="G52" s="105">
        <v>7</v>
      </c>
      <c r="H52" s="107">
        <f>IF($G52="","",INDEX('1. závod'!$A:$BD,$G52+3,INDEX('Základní list'!$B:$B,MATCH($F52,'Základní list'!$A:$A,0),1)))</f>
        <v>300</v>
      </c>
      <c r="I52" s="108">
        <f>IF($G52="","",INDEX('1. závod'!$A:$BC,$G52+3,INDEX('Základní list'!$B:$B,MATCH($F52,'Základní list'!$A:$A,0),1)+2))</f>
        <v>10</v>
      </c>
      <c r="J52" s="104" t="s">
        <v>23</v>
      </c>
      <c r="K52" s="109">
        <v>6</v>
      </c>
      <c r="L52" s="110">
        <f>IF($K52="","",INDEX('2. závod'!$A:$BD,$K52+3,INDEX('Základní list'!$B:$B,MATCH($J52,'Základní list'!$A:$A,0),1)))</f>
        <v>1600</v>
      </c>
      <c r="M52" s="111">
        <f>IF($K52="","",INDEX('2. závod'!$A:$BD,$K52+3,INDEX('Základní list'!$B:$B,MATCH($J52,'Základní list'!$A:$A,0),1)+2))</f>
        <v>4</v>
      </c>
      <c r="N52" s="112">
        <f>IF($K52="","",SUM(H52,L52))</f>
        <v>1900</v>
      </c>
      <c r="O52" s="113">
        <f>IF($K52="","",SUM(I52,M52))</f>
        <v>14</v>
      </c>
      <c r="P52" s="114">
        <v>44</v>
      </c>
      <c r="Q52" s="36" t="str">
        <f>CONCATENATE(F52,G52)</f>
        <v>F7</v>
      </c>
      <c r="R52" s="36" t="str">
        <f>CONCATENATE(J52,K52)</f>
        <v>B6</v>
      </c>
      <c r="S52" s="36">
        <f>COUNT(I52,M52)</f>
        <v>2</v>
      </c>
    </row>
    <row r="53" spans="1:19" s="17" customFormat="1" ht="18" customHeight="1" thickBot="1">
      <c r="A53" s="104">
        <v>30</v>
      </c>
      <c r="B53" s="134" t="s">
        <v>136</v>
      </c>
      <c r="C53" s="32"/>
      <c r="D53" s="137" t="s">
        <v>137</v>
      </c>
      <c r="E53" s="132">
        <v>2301</v>
      </c>
      <c r="F53" s="33" t="s">
        <v>22</v>
      </c>
      <c r="G53" s="32">
        <v>5</v>
      </c>
      <c r="H53" s="26">
        <f>IF($G53="","",INDEX('1. závod'!$A:$BD,$G53+3,INDEX('Základní list'!$B:$B,MATCH($F53,'Základní list'!$A:$A,0),1)))</f>
        <v>550</v>
      </c>
      <c r="I53" s="22">
        <f>IF($G53="","",INDEX('1. závod'!$A:$BC,$G53+3,INDEX('Základní list'!$B:$B,MATCH($F53,'Základní list'!$A:$A,0),1)+2))</f>
        <v>8</v>
      </c>
      <c r="J53" s="30" t="s">
        <v>23</v>
      </c>
      <c r="K53" s="31">
        <v>2</v>
      </c>
      <c r="L53" s="59">
        <f>IF($K53="","",INDEX('2. závod'!$A:$BD,$K53+3,INDEX('Základní list'!$B:$B,MATCH($J53,'Základní list'!$A:$A,0),1)))</f>
        <v>1300</v>
      </c>
      <c r="M53" s="60">
        <f>IF($K53="","",INDEX('2. závod'!$A:$BD,$K53+3,INDEX('Základní list'!$B:$B,MATCH($J53,'Základní list'!$A:$A,0),1)+2))</f>
        <v>6</v>
      </c>
      <c r="N53" s="28">
        <f>IF($K53="","",SUM(H53,L53))</f>
        <v>1850</v>
      </c>
      <c r="O53" s="58">
        <f>IF($K53="","",SUM(I53,M53))</f>
        <v>14</v>
      </c>
      <c r="P53" s="66">
        <v>45</v>
      </c>
      <c r="Q53" s="36" t="str">
        <f>CONCATENATE(F53,G53)</f>
        <v>C5</v>
      </c>
      <c r="R53" s="36" t="str">
        <f>CONCATENATE(J53,K53)</f>
        <v>B2</v>
      </c>
      <c r="S53" s="36">
        <f>COUNT(I53,M53)</f>
        <v>2</v>
      </c>
    </row>
    <row r="54" spans="1:19" ht="18" customHeight="1" thickBot="1">
      <c r="A54" s="104">
        <v>12</v>
      </c>
      <c r="B54" s="146" t="s">
        <v>174</v>
      </c>
      <c r="C54" s="149"/>
      <c r="D54" s="136" t="s">
        <v>92</v>
      </c>
      <c r="E54" s="133">
        <v>2646</v>
      </c>
      <c r="F54" s="106" t="s">
        <v>22</v>
      </c>
      <c r="G54" s="105">
        <v>9</v>
      </c>
      <c r="H54" s="107">
        <f>IF($G54="","",INDEX('1. závod'!$A:$BD,$G54+3,INDEX('Základní list'!$B:$B,MATCH($F54,'Základní list'!$A:$A,0),1)))</f>
        <v>200</v>
      </c>
      <c r="I54" s="108">
        <f>IF($G54="","",INDEX('1. závod'!$A:$BC,$G54+3,INDEX('Základní list'!$B:$B,MATCH($F54,'Základní list'!$A:$A,0),1)+2))</f>
        <v>9</v>
      </c>
      <c r="J54" s="104" t="s">
        <v>23</v>
      </c>
      <c r="K54" s="109">
        <v>7</v>
      </c>
      <c r="L54" s="110">
        <f>IF($K54="","",INDEX('2. závod'!$A:$BD,$K54+3,INDEX('Základní list'!$B:$B,MATCH($J54,'Základní list'!$A:$A,0),1)))</f>
        <v>1500</v>
      </c>
      <c r="M54" s="111">
        <f>IF($K54="","",INDEX('2. závod'!$A:$BD,$K54+3,INDEX('Základní list'!$B:$B,MATCH($J54,'Základní list'!$A:$A,0),1)+2))</f>
        <v>5</v>
      </c>
      <c r="N54" s="112">
        <f>IF($K54="","",SUM(H54,L54))</f>
        <v>1700</v>
      </c>
      <c r="O54" s="113">
        <f>IF($K54="","",SUM(I54,M54))</f>
        <v>14</v>
      </c>
      <c r="P54" s="114">
        <v>46</v>
      </c>
      <c r="Q54" s="36" t="str">
        <f>CONCATENATE(F54,G54)</f>
        <v>C9</v>
      </c>
      <c r="R54" s="36" t="str">
        <f>CONCATENATE(J54,K54)</f>
        <v>B7</v>
      </c>
      <c r="S54" s="36">
        <f>COUNT(I54,M54)</f>
        <v>2</v>
      </c>
    </row>
    <row r="55" spans="1:19" s="17" customFormat="1" ht="18" customHeight="1" thickBot="1">
      <c r="A55" s="104">
        <v>47</v>
      </c>
      <c r="B55" s="135" t="s">
        <v>177</v>
      </c>
      <c r="C55" s="32"/>
      <c r="D55" s="136" t="s">
        <v>104</v>
      </c>
      <c r="E55" s="133">
        <v>2336</v>
      </c>
      <c r="F55" s="33" t="s">
        <v>23</v>
      </c>
      <c r="G55" s="32">
        <v>4</v>
      </c>
      <c r="H55" s="26">
        <f>IF($G55="","",INDEX('1. závod'!$A:$BD,$G55+3,INDEX('Základní list'!$B:$B,MATCH($F55,'Základní list'!$A:$A,0),1)))</f>
        <v>150</v>
      </c>
      <c r="I55" s="22">
        <f>IF($G55="","",INDEX('1. závod'!$A:$BC,$G55+3,INDEX('Základní list'!$B:$B,MATCH($F55,'Základní list'!$A:$A,0),1)+2))</f>
        <v>10</v>
      </c>
      <c r="J55" s="30" t="s">
        <v>22</v>
      </c>
      <c r="K55" s="31">
        <v>2</v>
      </c>
      <c r="L55" s="59">
        <f>IF($K55="","",INDEX('2. závod'!$A:$BD,$K55+3,INDEX('Základní list'!$B:$B,MATCH($J55,'Základní list'!$A:$A,0),1)))</f>
        <v>1500</v>
      </c>
      <c r="M55" s="60">
        <f>IF($K55="","",INDEX('2. závod'!$A:$BD,$K55+3,INDEX('Základní list'!$B:$B,MATCH($J55,'Základní list'!$A:$A,0),1)+2))</f>
        <v>4</v>
      </c>
      <c r="N55" s="28">
        <f>IF($K55="","",SUM(H55,L55))</f>
        <v>1650</v>
      </c>
      <c r="O55" s="58">
        <f>IF($K55="","",SUM(I55,M55))</f>
        <v>14</v>
      </c>
      <c r="P55" s="66">
        <v>47</v>
      </c>
      <c r="Q55" s="36" t="str">
        <f>CONCATENATE(F55,G55)</f>
        <v>B4</v>
      </c>
      <c r="R55" s="36" t="str">
        <f>CONCATENATE(J55,K55)</f>
        <v>C2</v>
      </c>
      <c r="S55" s="36">
        <f>COUNT(I55,M55)</f>
        <v>2</v>
      </c>
    </row>
    <row r="56" spans="1:19" ht="18" customHeight="1" thickBot="1">
      <c r="A56" s="104">
        <v>53</v>
      </c>
      <c r="B56" s="134" t="s">
        <v>161</v>
      </c>
      <c r="C56" s="32"/>
      <c r="D56" s="136" t="s">
        <v>163</v>
      </c>
      <c r="E56" s="132">
        <v>2462</v>
      </c>
      <c r="F56" s="33" t="s">
        <v>22</v>
      </c>
      <c r="G56" s="32">
        <v>7</v>
      </c>
      <c r="H56" s="26">
        <f>IF($G56="","",INDEX('1. závod'!$A:$BD,$G56+3,INDEX('Základní list'!$B:$B,MATCH($F56,'Základní list'!$A:$A,0),1)))</f>
        <v>1150</v>
      </c>
      <c r="I56" s="22">
        <f>IF($G56="","",INDEX('1. závod'!$A:$BC,$G56+3,INDEX('Základní list'!$B:$B,MATCH($F56,'Základní list'!$A:$A,0),1)+2))</f>
        <v>6.5</v>
      </c>
      <c r="J56" s="30" t="s">
        <v>24</v>
      </c>
      <c r="K56" s="31">
        <v>9</v>
      </c>
      <c r="L56" s="59">
        <f>IF($K56="","",INDEX('2. závod'!$A:$BD,$K56+3,INDEX('Základní list'!$B:$B,MATCH($J56,'Základní list'!$A:$A,0),1)))</f>
        <v>760</v>
      </c>
      <c r="M56" s="60">
        <f>IF($K56="","",INDEX('2. závod'!$A:$BD,$K56+3,INDEX('Základní list'!$B:$B,MATCH($J56,'Základní list'!$A:$A,0),1)+2))</f>
        <v>8</v>
      </c>
      <c r="N56" s="28">
        <f>IF($K56="","",SUM(H56,L56))</f>
        <v>1910</v>
      </c>
      <c r="O56" s="58">
        <f>IF($K56="","",SUM(I56,M56))</f>
        <v>14.5</v>
      </c>
      <c r="P56" s="66">
        <f>IF($N56="","",RANK(O56,O:O,1))</f>
        <v>48</v>
      </c>
      <c r="Q56" s="36" t="str">
        <f>CONCATENATE(F56,G56)</f>
        <v>C7</v>
      </c>
      <c r="R56" s="36" t="str">
        <f>CONCATENATE(J56,K56)</f>
        <v>F9</v>
      </c>
      <c r="S56" s="36">
        <f>COUNT(I56,M56)</f>
        <v>2</v>
      </c>
    </row>
    <row r="57" spans="1:19" ht="18" customHeight="1" thickBot="1">
      <c r="A57" s="104">
        <v>57</v>
      </c>
      <c r="B57" s="135" t="s">
        <v>166</v>
      </c>
      <c r="C57" s="32"/>
      <c r="D57" s="136" t="s">
        <v>107</v>
      </c>
      <c r="E57" s="133">
        <v>2816</v>
      </c>
      <c r="F57" s="33" t="s">
        <v>24</v>
      </c>
      <c r="G57" s="32">
        <v>4</v>
      </c>
      <c r="H57" s="26">
        <f>IF($G57="","",INDEX('1. závod'!$A:$BD,$G57+3,INDEX('Základní list'!$B:$B,MATCH($F57,'Základní list'!$A:$A,0),1)))</f>
        <v>600</v>
      </c>
      <c r="I57" s="22">
        <f>IF($G57="","",INDEX('1. závod'!$A:$BC,$G57+3,INDEX('Základní list'!$B:$B,MATCH($F57,'Základní list'!$A:$A,0),1)+2))</f>
        <v>8</v>
      </c>
      <c r="J57" s="30" t="s">
        <v>22</v>
      </c>
      <c r="K57" s="31">
        <v>9</v>
      </c>
      <c r="L57" s="59">
        <f>IF($K57="","",INDEX('2. závod'!$A:$BD,$K57+3,INDEX('Základní list'!$B:$B,MATCH($J57,'Základní list'!$A:$A,0),1)))</f>
        <v>900</v>
      </c>
      <c r="M57" s="60">
        <f>IF($K57="","",INDEX('2. závod'!$A:$BD,$K57+3,INDEX('Základní list'!$B:$B,MATCH($J57,'Základní list'!$A:$A,0),1)+2))</f>
        <v>6.5</v>
      </c>
      <c r="N57" s="28">
        <f>IF($K57="","",SUM(H57,L57))</f>
        <v>1500</v>
      </c>
      <c r="O57" s="58">
        <f>IF($K57="","",SUM(I57,M57))</f>
        <v>14.5</v>
      </c>
      <c r="P57" s="66">
        <v>49</v>
      </c>
      <c r="Q57" s="36" t="str">
        <f>CONCATENATE(F57,G57)</f>
        <v>F4</v>
      </c>
      <c r="R57" s="36" t="str">
        <f>CONCATENATE(J57,K57)</f>
        <v>C9</v>
      </c>
      <c r="S57" s="36">
        <f>COUNT(I57,M57)</f>
        <v>2</v>
      </c>
    </row>
    <row r="58" spans="1:19" s="17" customFormat="1" ht="18" customHeight="1" thickBot="1">
      <c r="A58" s="104">
        <v>59</v>
      </c>
      <c r="B58" s="148" t="s">
        <v>176</v>
      </c>
      <c r="C58" s="149"/>
      <c r="D58" s="136" t="s">
        <v>108</v>
      </c>
      <c r="E58" s="133">
        <v>8</v>
      </c>
      <c r="F58" s="33" t="s">
        <v>23</v>
      </c>
      <c r="G58" s="32">
        <v>2</v>
      </c>
      <c r="H58" s="26">
        <f>IF($G58="","",INDEX('1. závod'!$A:$BD,$G58+3,INDEX('Základní list'!$B:$B,MATCH($F58,'Základní list'!$A:$A,0),1)))</f>
        <v>1300</v>
      </c>
      <c r="I58" s="22">
        <f>IF($G58="","",INDEX('1. závod'!$A:$BC,$G58+3,INDEX('Základní list'!$B:$B,MATCH($F58,'Základní list'!$A:$A,0),1)+2))</f>
        <v>5.5</v>
      </c>
      <c r="J58" s="30" t="s">
        <v>20</v>
      </c>
      <c r="K58" s="31">
        <v>10</v>
      </c>
      <c r="L58" s="59">
        <f>IF($K58="","",INDEX('2. závod'!$A:$BD,$K58+3,INDEX('Základní list'!$B:$B,MATCH($J58,'Základní list'!$A:$A,0),1)))</f>
        <v>520</v>
      </c>
      <c r="M58" s="60">
        <f>IF($K58="","",INDEX('2. závod'!$A:$BD,$K58+3,INDEX('Základní list'!$B:$B,MATCH($J58,'Základní list'!$A:$A,0),1)+2))</f>
        <v>10</v>
      </c>
      <c r="N58" s="28">
        <f>IF($K58="","",SUM(H58,L58))</f>
        <v>1820</v>
      </c>
      <c r="O58" s="58">
        <f>IF($K58="","",SUM(I58,M58))</f>
        <v>15.5</v>
      </c>
      <c r="P58" s="66">
        <f>IF($N58="","",RANK(O58,O:O,1))</f>
        <v>50</v>
      </c>
      <c r="Q58" s="36" t="str">
        <f>CONCATENATE(F58,G58)</f>
        <v>B2</v>
      </c>
      <c r="R58" s="36" t="str">
        <f>CONCATENATE(J58,K58)</f>
        <v>D10</v>
      </c>
      <c r="S58" s="36">
        <f>COUNT(I58,M58)</f>
        <v>2</v>
      </c>
    </row>
    <row r="59" spans="1:19" ht="18" customHeight="1" thickBot="1">
      <c r="A59" s="104">
        <v>40</v>
      </c>
      <c r="B59" s="134" t="s">
        <v>147</v>
      </c>
      <c r="C59" s="32"/>
      <c r="D59" s="137" t="s">
        <v>102</v>
      </c>
      <c r="E59" s="132">
        <v>1086</v>
      </c>
      <c r="F59" s="33" t="s">
        <v>21</v>
      </c>
      <c r="G59" s="32">
        <v>6</v>
      </c>
      <c r="H59" s="26">
        <f>IF($G59="","",INDEX('1. závod'!$A:$BD,$G59+3,INDEX('Základní list'!$B:$B,MATCH($F59,'Základní list'!$A:$A,0),1)))</f>
        <v>780</v>
      </c>
      <c r="I59" s="22">
        <f>IF($G59="","",INDEX('1. závod'!$A:$BC,$G59+3,INDEX('Základní list'!$B:$B,MATCH($F59,'Základní list'!$A:$A,0),1)+2))</f>
        <v>7</v>
      </c>
      <c r="J59" s="30" t="s">
        <v>23</v>
      </c>
      <c r="K59" s="31">
        <v>3</v>
      </c>
      <c r="L59" s="59">
        <f>IF($K59="","",INDEX('2. závod'!$A:$BD,$K59+3,INDEX('Základní list'!$B:$B,MATCH($J59,'Základní list'!$A:$A,0),1)))</f>
        <v>700</v>
      </c>
      <c r="M59" s="60">
        <f>IF($K59="","",INDEX('2. závod'!$A:$BD,$K59+3,INDEX('Základní list'!$B:$B,MATCH($J59,'Základní list'!$A:$A,0),1)+2))</f>
        <v>9</v>
      </c>
      <c r="N59" s="28">
        <f>IF($K59="","",SUM(H59,L59))</f>
        <v>1480</v>
      </c>
      <c r="O59" s="58">
        <f>IF($K59="","",SUM(I59,M59))</f>
        <v>16</v>
      </c>
      <c r="P59" s="66">
        <f>IF($N59="","",RANK(O59,O:O,1))</f>
        <v>51</v>
      </c>
      <c r="Q59" s="36" t="str">
        <f>CONCATENATE(F59,G59)</f>
        <v>E6</v>
      </c>
      <c r="R59" s="36" t="str">
        <f>CONCATENATE(J59,K59)</f>
        <v>B3</v>
      </c>
      <c r="S59" s="36">
        <f>COUNT(I59,M59)</f>
        <v>2</v>
      </c>
    </row>
    <row r="60" spans="1:19" s="17" customFormat="1" ht="18" customHeight="1" thickBot="1">
      <c r="A60" s="104">
        <v>10</v>
      </c>
      <c r="B60" s="148" t="s">
        <v>118</v>
      </c>
      <c r="C60" s="149"/>
      <c r="D60" s="136" t="s">
        <v>92</v>
      </c>
      <c r="E60" s="133">
        <v>2621</v>
      </c>
      <c r="F60" s="106" t="s">
        <v>19</v>
      </c>
      <c r="G60" s="105">
        <v>1</v>
      </c>
      <c r="H60" s="107">
        <f>IF($G60="","",INDEX('1. závod'!$A:$BD,$G60+3,INDEX('Základní list'!$B:$B,MATCH($F60,'Základní list'!$A:$A,0),1)))</f>
        <v>1350</v>
      </c>
      <c r="I60" s="108">
        <f>IF($G60="","",INDEX('1. závod'!$A:$BC,$G60+3,INDEX('Základní list'!$B:$B,MATCH($F60,'Základní list'!$A:$A,0),1)+2))</f>
        <v>7</v>
      </c>
      <c r="J60" s="104" t="s">
        <v>24</v>
      </c>
      <c r="K60" s="109">
        <v>3</v>
      </c>
      <c r="L60" s="110">
        <f>IF($K60="","",INDEX('2. závod'!$A:$BD,$K60+3,INDEX('Základní list'!$B:$B,MATCH($J60,'Základní list'!$A:$A,0),1)))</f>
        <v>220</v>
      </c>
      <c r="M60" s="111">
        <f>IF($K60="","",INDEX('2. závod'!$A:$BD,$K60+3,INDEX('Základní list'!$B:$B,MATCH($J60,'Základní list'!$A:$A,0),1)+2))</f>
        <v>9.5</v>
      </c>
      <c r="N60" s="112">
        <f>IF($K60="","",SUM(H60,L60))</f>
        <v>1570</v>
      </c>
      <c r="O60" s="113">
        <f>IF($K60="","",SUM(I60,M60))</f>
        <v>16.5</v>
      </c>
      <c r="P60" s="114">
        <f>IF($N60="","",RANK(O60,O:O,1))</f>
        <v>52</v>
      </c>
      <c r="Q60" s="36" t="str">
        <f>CONCATENATE(F60,G60)</f>
        <v>A1</v>
      </c>
      <c r="R60" s="36" t="str">
        <f>CONCATENATE(J60,K60)</f>
        <v>F3</v>
      </c>
      <c r="S60" s="36">
        <f>COUNT(I60,M60)</f>
        <v>2</v>
      </c>
    </row>
    <row r="61" spans="1:19" ht="18" customHeight="1" thickBot="1">
      <c r="A61" s="104">
        <v>2</v>
      </c>
      <c r="B61" s="145" t="s">
        <v>110</v>
      </c>
      <c r="C61" s="105"/>
      <c r="D61" s="136" t="s">
        <v>89</v>
      </c>
      <c r="E61" s="133">
        <v>234</v>
      </c>
      <c r="F61" s="106" t="s">
        <v>20</v>
      </c>
      <c r="G61" s="105">
        <v>3</v>
      </c>
      <c r="H61" s="107">
        <f>IF($G61="","",INDEX('1. závod'!$A:$BD,$G61+3,INDEX('Základní list'!$B:$B,MATCH($F61,'Základní list'!$A:$A,0),1)))</f>
        <v>980</v>
      </c>
      <c r="I61" s="108">
        <f>IF($G61="","",INDEX('1. závod'!$A:$BC,$G61+3,INDEX('Základní list'!$B:$B,MATCH($F61,'Základní list'!$A:$A,0),1)+2))</f>
        <v>9</v>
      </c>
      <c r="J61" s="104" t="s">
        <v>20</v>
      </c>
      <c r="K61" s="109">
        <v>8</v>
      </c>
      <c r="L61" s="110">
        <f>IF($K61="","",INDEX('2. závod'!$A:$BD,$K61+3,INDEX('Základní list'!$B:$B,MATCH($J61,'Základní list'!$A:$A,0),1)))</f>
        <v>680</v>
      </c>
      <c r="M61" s="111">
        <f>IF($K61="","",INDEX('2. závod'!$A:$BD,$K61+3,INDEX('Základní list'!$B:$B,MATCH($J61,'Základní list'!$A:$A,0),1)+2))</f>
        <v>8</v>
      </c>
      <c r="N61" s="112">
        <f>IF($K61="","",SUM(H61,L61))</f>
        <v>1660</v>
      </c>
      <c r="O61" s="113">
        <f>IF($K61="","",SUM(I61,M61))</f>
        <v>17</v>
      </c>
      <c r="P61" s="114">
        <f>IF($N61="","",RANK(O61,O:O,1))</f>
        <v>53</v>
      </c>
      <c r="Q61" s="36" t="str">
        <f>CONCATENATE(F61,G61)</f>
        <v>D3</v>
      </c>
      <c r="R61" s="36" t="str">
        <f>CONCATENATE(J61,K61)</f>
        <v>D8</v>
      </c>
      <c r="S61" s="36">
        <f>COUNT(I61,M61)</f>
        <v>2</v>
      </c>
    </row>
    <row r="62" spans="1:19" ht="18" customHeight="1" thickBot="1">
      <c r="A62" s="104">
        <v>16</v>
      </c>
      <c r="B62" s="134" t="s">
        <v>123</v>
      </c>
      <c r="C62" s="105"/>
      <c r="D62" s="136" t="s">
        <v>125</v>
      </c>
      <c r="E62" s="132">
        <v>1</v>
      </c>
      <c r="F62" s="106" t="s">
        <v>21</v>
      </c>
      <c r="G62" s="105">
        <v>7</v>
      </c>
      <c r="H62" s="107">
        <f>IF($G62="","",INDEX('1. závod'!$A:$BD,$G62+3,INDEX('Základní list'!$B:$B,MATCH($F62,'Základní list'!$A:$A,0),1)))</f>
        <v>40</v>
      </c>
      <c r="I62" s="108">
        <f>IF($G62="","",INDEX('1. závod'!$A:$BC,$G62+3,INDEX('Základní list'!$B:$B,MATCH($F62,'Základní list'!$A:$A,0),1)+2))</f>
        <v>10</v>
      </c>
      <c r="J62" s="104" t="s">
        <v>19</v>
      </c>
      <c r="K62" s="109">
        <v>10</v>
      </c>
      <c r="L62" s="110">
        <f>IF($K62="","",INDEX('2. závod'!$A:$BD,$K62+3,INDEX('Základní list'!$B:$B,MATCH($J62,'Základní list'!$A:$A,0),1)))</f>
        <v>1450</v>
      </c>
      <c r="M62" s="111">
        <f>IF($K62="","",INDEX('2. závod'!$A:$BD,$K62+3,INDEX('Základní list'!$B:$B,MATCH($J62,'Základní list'!$A:$A,0),1)+2))</f>
        <v>7</v>
      </c>
      <c r="N62" s="112">
        <f>IF($K62="","",SUM(H62,L62))</f>
        <v>1490</v>
      </c>
      <c r="O62" s="113">
        <f>IF($K62="","",SUM(I62,M62))</f>
        <v>17</v>
      </c>
      <c r="P62" s="114">
        <v>54</v>
      </c>
      <c r="Q62" s="36" t="str">
        <f>CONCATENATE(F62,G62)</f>
        <v>E7</v>
      </c>
      <c r="R62" s="36" t="str">
        <f>CONCATENATE(J62,K62)</f>
        <v>A10</v>
      </c>
      <c r="S62" s="36">
        <f>COUNT(I62,M62)</f>
        <v>2</v>
      </c>
    </row>
    <row r="63" spans="1:19" ht="18" customHeight="1" collapsed="1" thickBot="1">
      <c r="A63" s="104">
        <v>51</v>
      </c>
      <c r="B63" s="135" t="s">
        <v>158</v>
      </c>
      <c r="C63" s="32"/>
      <c r="D63" s="136" t="s">
        <v>159</v>
      </c>
      <c r="E63" s="133">
        <v>2287</v>
      </c>
      <c r="F63" s="33" t="s">
        <v>21</v>
      </c>
      <c r="G63" s="32">
        <v>8</v>
      </c>
      <c r="H63" s="26">
        <f>IF($G63="","",INDEX('1. závod'!$A:$BD,$G63+3,INDEX('Základní list'!$B:$B,MATCH($F63,'Základní list'!$A:$A,0),1)))</f>
        <v>180</v>
      </c>
      <c r="I63" s="22">
        <f>IF($G63="","",INDEX('1. závod'!$A:$BC,$G63+3,INDEX('Základní list'!$B:$B,MATCH($F63,'Základní list'!$A:$A,0),1)+2))</f>
        <v>9</v>
      </c>
      <c r="J63" s="30" t="s">
        <v>22</v>
      </c>
      <c r="K63" s="31">
        <v>8</v>
      </c>
      <c r="L63" s="59">
        <f>IF($K63="","",INDEX('2. závod'!$A:$BD,$K63+3,INDEX('Základní list'!$B:$B,MATCH($J63,'Základní list'!$A:$A,0),1)))</f>
        <v>800</v>
      </c>
      <c r="M63" s="60">
        <f>IF($K63="","",INDEX('2. závod'!$A:$BD,$K63+3,INDEX('Základní list'!$B:$B,MATCH($J63,'Základní list'!$A:$A,0),1)+2))</f>
        <v>8</v>
      </c>
      <c r="N63" s="28">
        <f>IF($K63="","",SUM(H63,L63))</f>
        <v>980</v>
      </c>
      <c r="O63" s="58">
        <f>IF($K63="","",SUM(I63,M63))</f>
        <v>17</v>
      </c>
      <c r="P63" s="66">
        <v>55</v>
      </c>
      <c r="Q63" s="36" t="str">
        <f>CONCATENATE(F63,G63)</f>
        <v>E8</v>
      </c>
      <c r="R63" s="36" t="str">
        <f>CONCATENATE(J63,K63)</f>
        <v>C8</v>
      </c>
      <c r="S63" s="36">
        <f>COUNT(I63,M63)</f>
        <v>2</v>
      </c>
    </row>
    <row r="64" spans="1:19" ht="18" customHeight="1" thickBot="1">
      <c r="A64" s="104">
        <v>24</v>
      </c>
      <c r="B64" s="135" t="s">
        <v>175</v>
      </c>
      <c r="C64" s="105"/>
      <c r="D64" s="136" t="s">
        <v>96</v>
      </c>
      <c r="E64" s="133">
        <v>2036</v>
      </c>
      <c r="F64" s="106" t="s">
        <v>19</v>
      </c>
      <c r="G64" s="105">
        <v>3</v>
      </c>
      <c r="H64" s="107">
        <f>IF($G64="","",INDEX('1. závod'!$A:$BD,$G64+3,INDEX('Základní list'!$B:$B,MATCH($F64,'Základní list'!$A:$A,0),1)))</f>
        <v>650</v>
      </c>
      <c r="I64" s="108">
        <f>IF($G64="","",INDEX('1. závod'!$A:$BC,$G64+3,INDEX('Základní list'!$B:$B,MATCH($F64,'Základní list'!$A:$A,0),1)+2))</f>
        <v>9</v>
      </c>
      <c r="J64" s="104" t="s">
        <v>21</v>
      </c>
      <c r="K64" s="109">
        <v>9</v>
      </c>
      <c r="L64" s="110">
        <f>IF($K64="","",INDEX('2. závod'!$A:$BD,$K64+3,INDEX('Základní list'!$B:$B,MATCH($J64,'Základní list'!$A:$A,0),1)))</f>
        <v>840</v>
      </c>
      <c r="M64" s="111">
        <f>IF($K64="","",INDEX('2. závod'!$A:$BD,$K64+3,INDEX('Základní list'!$B:$B,MATCH($J64,'Základní list'!$A:$A,0),1)+2))</f>
        <v>9</v>
      </c>
      <c r="N64" s="112">
        <f>IF($K64="","",SUM(H64,L64))</f>
        <v>1490</v>
      </c>
      <c r="O64" s="113">
        <f>IF($K64="","",SUM(I64,M64))</f>
        <v>18</v>
      </c>
      <c r="P64" s="114">
        <f>IF($N64="","",RANK(O64,O:O,1))</f>
        <v>56</v>
      </c>
      <c r="Q64" s="36" t="str">
        <f>CONCATENATE(F64,G64)</f>
        <v>A3</v>
      </c>
      <c r="R64" s="36" t="str">
        <f>CONCATENATE(J64,K64)</f>
        <v>E9</v>
      </c>
      <c r="S64" s="36">
        <f>COUNT(I64,M64)</f>
        <v>2</v>
      </c>
    </row>
    <row r="65" spans="1:19" s="17" customFormat="1" ht="18" customHeight="1" thickBot="1">
      <c r="A65" s="104">
        <v>17</v>
      </c>
      <c r="B65" s="134" t="s">
        <v>124</v>
      </c>
      <c r="C65" s="105"/>
      <c r="D65" s="136" t="s">
        <v>125</v>
      </c>
      <c r="E65" s="132">
        <v>2592</v>
      </c>
      <c r="F65" s="106" t="s">
        <v>20</v>
      </c>
      <c r="G65" s="105">
        <v>6</v>
      </c>
      <c r="H65" s="107">
        <f>IF($G65="","",INDEX('1. závod'!$A:$BD,$G65+3,INDEX('Základní list'!$B:$B,MATCH($F65,'Základní list'!$A:$A,0),1)))</f>
        <v>280</v>
      </c>
      <c r="I65" s="108">
        <f>IF($G65="","",INDEX('1. závod'!$A:$BC,$G65+3,INDEX('Základní list'!$B:$B,MATCH($F65,'Základní list'!$A:$A,0),1)+2))</f>
        <v>10</v>
      </c>
      <c r="J65" s="104" t="s">
        <v>20</v>
      </c>
      <c r="K65" s="109">
        <v>1</v>
      </c>
      <c r="L65" s="110">
        <f>IF($K65="","",INDEX('2. závod'!$A:$BD,$K65+3,INDEX('Základní list'!$B:$B,MATCH($J65,'Základní list'!$A:$A,0),1)))</f>
        <v>660</v>
      </c>
      <c r="M65" s="111">
        <f>IF($K65="","",INDEX('2. závod'!$A:$BD,$K65+3,INDEX('Základní list'!$B:$B,MATCH($J65,'Základní list'!$A:$A,0),1)+2))</f>
        <v>9</v>
      </c>
      <c r="N65" s="112">
        <f>IF($K65="","",SUM(H65,L65))</f>
        <v>940</v>
      </c>
      <c r="O65" s="113">
        <f>IF($K65="","",SUM(I65,M65))</f>
        <v>19</v>
      </c>
      <c r="P65" s="114">
        <f>IF($N65="","",RANK(O65,O:O,1))</f>
        <v>57</v>
      </c>
      <c r="Q65" s="36" t="str">
        <f>CONCATENATE(F65,G65)</f>
        <v>D6</v>
      </c>
      <c r="R65" s="36" t="str">
        <f>CONCATENATE(J65,K65)</f>
        <v>D1</v>
      </c>
      <c r="S65" s="36">
        <f>COUNT(I65,M65)</f>
        <v>2</v>
      </c>
    </row>
    <row r="66" spans="1:19" ht="18" customHeight="1" thickBot="1">
      <c r="A66" s="104">
        <v>41</v>
      </c>
      <c r="B66" s="134" t="s">
        <v>148</v>
      </c>
      <c r="C66" s="32"/>
      <c r="D66" s="137" t="s">
        <v>102</v>
      </c>
      <c r="E66" s="132">
        <v>1129</v>
      </c>
      <c r="F66" s="33" t="s">
        <v>23</v>
      </c>
      <c r="G66" s="32">
        <v>10</v>
      </c>
      <c r="H66" s="26">
        <f>IF($G66="","",INDEX('1. závod'!$A:$BD,$G66+3,INDEX('Základní list'!$B:$B,MATCH($F66,'Základní list'!$A:$A,0),1)))</f>
        <v>300</v>
      </c>
      <c r="I66" s="22">
        <f>IF($G66="","",INDEX('1. závod'!$A:$BC,$G66+3,INDEX('Základní list'!$B:$B,MATCH($F66,'Základní list'!$A:$A,0),1)+2))</f>
        <v>9</v>
      </c>
      <c r="J66" s="30" t="s">
        <v>22</v>
      </c>
      <c r="K66" s="31">
        <v>1</v>
      </c>
      <c r="L66" s="59">
        <f>IF($K66="","",INDEX('2. závod'!$A:$BD,$K66+3,INDEX('Základní list'!$B:$B,MATCH($J66,'Základní list'!$A:$A,0),1)))</f>
        <v>0</v>
      </c>
      <c r="M66" s="60">
        <f>IF($K66="","",INDEX('2. závod'!$A:$BD,$K66+3,INDEX('Základní list'!$B:$B,MATCH($J66,'Základní list'!$A:$A,0),1)+2))</f>
        <v>10</v>
      </c>
      <c r="N66" s="28">
        <f>IF($K66="","",SUM(H66,L66))</f>
        <v>300</v>
      </c>
      <c r="O66" s="58">
        <f>IF($K66="","",SUM(I66,M66))</f>
        <v>19</v>
      </c>
      <c r="P66" s="66">
        <v>58</v>
      </c>
      <c r="Q66" s="36" t="str">
        <f>CONCATENATE(F66,G66)</f>
        <v>B10</v>
      </c>
      <c r="R66" s="36" t="str">
        <f>CONCATENATE(J66,K66)</f>
        <v>C1</v>
      </c>
      <c r="S66" s="36">
        <f>COUNT(I66,M66)</f>
        <v>2</v>
      </c>
    </row>
    <row r="67" spans="1:19" ht="18" customHeight="1" thickBot="1">
      <c r="A67" s="104">
        <v>18</v>
      </c>
      <c r="B67" s="135" t="s">
        <v>173</v>
      </c>
      <c r="C67" s="105"/>
      <c r="D67" s="136" t="s">
        <v>125</v>
      </c>
      <c r="E67" s="133">
        <v>2</v>
      </c>
      <c r="F67" s="106" t="s">
        <v>19</v>
      </c>
      <c r="G67" s="105">
        <v>2</v>
      </c>
      <c r="H67" s="107">
        <f>IF($G67="","",INDEX('1. závod'!$A:$BD,$G67+3,INDEX('Základní list'!$B:$B,MATCH($F67,'Základní list'!$A:$A,0),1)))</f>
        <v>500</v>
      </c>
      <c r="I67" s="108">
        <f>IF($G67="","",INDEX('1. závod'!$A:$BC,$G67+3,INDEX('Základní list'!$B:$B,MATCH($F67,'Základní list'!$A:$A,0),1)+2))</f>
        <v>10</v>
      </c>
      <c r="J67" s="104" t="s">
        <v>24</v>
      </c>
      <c r="K67" s="109">
        <v>6</v>
      </c>
      <c r="L67" s="110">
        <f>IF($K67="","",INDEX('2. závod'!$A:$BD,$K67+3,INDEX('Základní list'!$B:$B,MATCH($J67,'Základní list'!$A:$A,0),1)))</f>
        <v>220</v>
      </c>
      <c r="M67" s="111">
        <f>IF($K67="","",INDEX('2. závod'!$A:$BD,$K67+3,INDEX('Základní list'!$B:$B,MATCH($J67,'Základní list'!$A:$A,0),1)+2))</f>
        <v>9.5</v>
      </c>
      <c r="N67" s="112">
        <f>IF($K67="","",SUM(H67,L67))</f>
        <v>720</v>
      </c>
      <c r="O67" s="113">
        <f>IF($K67="","",SUM(I67,M67))</f>
        <v>19.5</v>
      </c>
      <c r="P67" s="114">
        <f>IF($N67="","",RANK(O67,O:O,1))</f>
        <v>59</v>
      </c>
      <c r="Q67" s="36" t="str">
        <f>CONCATENATE(F67,G67)</f>
        <v>A2</v>
      </c>
      <c r="R67" s="36" t="str">
        <f>CONCATENATE(J67,K67)</f>
        <v>F6</v>
      </c>
      <c r="S67" s="36">
        <f>COUNT(I67,M67)</f>
        <v>2</v>
      </c>
    </row>
    <row r="68" spans="1:19" ht="18" customHeight="1" thickBot="1">
      <c r="A68" s="150">
        <v>48</v>
      </c>
      <c r="B68" s="151" t="s">
        <v>155</v>
      </c>
      <c r="C68" s="63"/>
      <c r="D68" s="152" t="s">
        <v>104</v>
      </c>
      <c r="E68" s="155">
        <v>2334</v>
      </c>
      <c r="F68" s="62" t="s">
        <v>22</v>
      </c>
      <c r="G68" s="63">
        <v>2</v>
      </c>
      <c r="H68" s="88">
        <f>IF($G68="","",INDEX('1. závod'!$A:$BD,$G68+3,INDEX('Základní list'!$B:$B,MATCH($F68,'Základní list'!$A:$A,0),1)))</f>
        <v>100</v>
      </c>
      <c r="I68" s="19">
        <f>IF($G68="","",INDEX('1. závod'!$A:$BC,$G68+3,INDEX('Základní list'!$B:$B,MATCH($F68,'Základní list'!$A:$A,0),1)+2))</f>
        <v>10</v>
      </c>
      <c r="J68" s="62" t="s">
        <v>19</v>
      </c>
      <c r="K68" s="63">
        <v>2</v>
      </c>
      <c r="L68" s="61">
        <f>IF($K68="","",INDEX('2. závod'!$A:$BD,$K68+3,INDEX('Základní list'!$B:$B,MATCH($J68,'Základní list'!$A:$A,0),1)))</f>
        <v>200</v>
      </c>
      <c r="M68" s="20">
        <f>IF($K68="","",INDEX('2. závod'!$A:$BD,$K68+3,INDEX('Základní list'!$B:$B,MATCH($J68,'Základní list'!$A:$A,0),1)+2))</f>
        <v>10</v>
      </c>
      <c r="N68" s="29">
        <f>IF($K68="","",SUM(H68,L68))</f>
        <v>300</v>
      </c>
      <c r="O68" s="64">
        <f>IF($K68="","",SUM(I68,M68))</f>
        <v>20</v>
      </c>
      <c r="P68" s="73">
        <f>IF($N68="","",RANK(O68,O:O,1))</f>
        <v>60</v>
      </c>
      <c r="Q68" s="36" t="str">
        <f>CONCATENATE(F68,G68)</f>
        <v>C2</v>
      </c>
      <c r="R68" s="36" t="str">
        <f>CONCATENATE(J68,K68)</f>
        <v>A2</v>
      </c>
      <c r="S68" s="36">
        <f>COUNT(I68,M68)</f>
        <v>2</v>
      </c>
    </row>
    <row r="69" spans="1:16" ht="12.75" collapsed="1">
      <c r="A69" s="18"/>
      <c r="B69" s="23"/>
      <c r="C69" s="18"/>
      <c r="D69" s="18"/>
      <c r="E69" s="18"/>
      <c r="F69" s="18"/>
      <c r="G69" s="18"/>
      <c r="H69" s="27"/>
      <c r="I69" s="18"/>
      <c r="J69" s="18"/>
      <c r="K69" s="18"/>
      <c r="L69" s="27"/>
      <c r="M69" s="18"/>
      <c r="N69" s="27"/>
      <c r="O69" s="18"/>
      <c r="P69" s="18"/>
    </row>
    <row r="70" spans="1:16" ht="12.75">
      <c r="A70" s="168" t="s">
        <v>12</v>
      </c>
      <c r="B70" s="168"/>
      <c r="C70" s="168"/>
      <c r="D70" s="168" t="s">
        <v>30</v>
      </c>
      <c r="E70" s="168"/>
      <c r="F70" s="168"/>
      <c r="G70" s="168"/>
      <c r="H70" s="168"/>
      <c r="I70" s="34"/>
      <c r="J70" s="34"/>
      <c r="K70" s="34"/>
      <c r="L70" s="34"/>
      <c r="M70" s="186" t="s">
        <v>18</v>
      </c>
      <c r="N70" s="186"/>
      <c r="O70" s="186"/>
      <c r="P70" s="186"/>
    </row>
  </sheetData>
  <sheetProtection formatCells="0" formatColumns="0" formatRows="0" sort="0" autoFilter="0"/>
  <autoFilter ref="A8:S68">
    <sortState ref="A9:S70">
      <sortCondition sortBy="value" ref="P9:P70"/>
    </sortState>
  </autoFilter>
  <mergeCells count="25"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M70:P70"/>
    <mergeCell ref="A70:C70"/>
    <mergeCell ref="D70:H70"/>
    <mergeCell ref="J7:K7"/>
    <mergeCell ref="N7:N8"/>
    <mergeCell ref="M7:M8"/>
    <mergeCell ref="L7:L8"/>
    <mergeCell ref="H7:H8"/>
    <mergeCell ref="I7:I8"/>
    <mergeCell ref="R6:R8"/>
    <mergeCell ref="F7:G7"/>
    <mergeCell ref="P7:P8"/>
    <mergeCell ref="O7:O8"/>
    <mergeCell ref="Q6:Q8"/>
    <mergeCell ref="B6:E7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fitToHeight="1" fitToWidth="1" horizontalDpi="300" verticalDpi="300" orientation="portrait" paperSize="9" scale="63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16"/>
  <sheetViews>
    <sheetView showGridLines="0" view="pageBreakPreview" zoomScale="70" zoomScaleNormal="50" zoomScaleSheetLayoutView="70" zoomScalePageLayoutView="0" workbookViewId="0" topLeftCell="A1">
      <pane xSplit="1" ySplit="3" topLeftCell="T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N4" sqref="AN4"/>
    </sheetView>
  </sheetViews>
  <sheetFormatPr defaultColWidth="5.25390625" defaultRowHeight="12.75"/>
  <cols>
    <col min="1" max="1" width="6.625" style="9" customWidth="1"/>
    <col min="2" max="2" width="37.00390625" style="14" customWidth="1"/>
    <col min="3" max="3" width="15.375" style="12" customWidth="1"/>
    <col min="4" max="4" width="4.00390625" style="12" hidden="1" customWidth="1"/>
    <col min="5" max="5" width="8.00390625" style="6" customWidth="1"/>
    <col min="6" max="6" width="21.00390625" style="6" customWidth="1"/>
    <col min="7" max="7" width="37.00390625" style="14" customWidth="1"/>
    <col min="8" max="8" width="15.375" style="12" customWidth="1"/>
    <col min="9" max="9" width="4.00390625" style="12" hidden="1" customWidth="1"/>
    <col min="10" max="10" width="8.00390625" style="6" customWidth="1"/>
    <col min="11" max="11" width="22.00390625" style="6" customWidth="1"/>
    <col min="12" max="12" width="37.00390625" style="14" customWidth="1"/>
    <col min="13" max="13" width="15.375" style="12" customWidth="1"/>
    <col min="14" max="14" width="4.00390625" style="12" hidden="1" customWidth="1"/>
    <col min="15" max="15" width="8.00390625" style="6" customWidth="1"/>
    <col min="16" max="16" width="22.00390625" style="6" customWidth="1"/>
    <col min="17" max="17" width="37.00390625" style="14" customWidth="1"/>
    <col min="18" max="18" width="15.375" style="12" customWidth="1"/>
    <col min="19" max="19" width="4.00390625" style="12" hidden="1" customWidth="1"/>
    <col min="20" max="20" width="8.00390625" style="6" customWidth="1"/>
    <col min="21" max="21" width="22.00390625" style="6" customWidth="1"/>
    <col min="22" max="22" width="37.00390625" style="14" customWidth="1"/>
    <col min="23" max="23" width="15.375" style="12" customWidth="1"/>
    <col min="24" max="24" width="4.00390625" style="12" hidden="1" customWidth="1"/>
    <col min="25" max="25" width="8.00390625" style="6" customWidth="1"/>
    <col min="26" max="26" width="22.00390625" style="6" customWidth="1"/>
    <col min="27" max="27" width="37.00390625" style="14" customWidth="1"/>
    <col min="28" max="28" width="15.375" style="12" customWidth="1"/>
    <col min="29" max="29" width="4.00390625" style="12" hidden="1" customWidth="1"/>
    <col min="30" max="30" width="8.00390625" style="6" customWidth="1"/>
    <col min="31" max="31" width="22.00390625" style="6" customWidth="1"/>
    <col min="32" max="139" width="5.25390625" style="11" customWidth="1"/>
    <col min="140" max="16384" width="5.25390625" style="12" customWidth="1"/>
  </cols>
  <sheetData>
    <row r="1" spans="1:31" ht="16.5" customHeight="1">
      <c r="A1" s="202" t="s">
        <v>13</v>
      </c>
      <c r="B1" s="205" t="s">
        <v>28</v>
      </c>
      <c r="C1" s="206"/>
      <c r="D1" s="206"/>
      <c r="E1" s="206"/>
      <c r="F1" s="207"/>
      <c r="G1" s="205" t="s">
        <v>28</v>
      </c>
      <c r="H1" s="206"/>
      <c r="I1" s="206"/>
      <c r="J1" s="206"/>
      <c r="K1" s="207"/>
      <c r="L1" s="205" t="s">
        <v>28</v>
      </c>
      <c r="M1" s="206"/>
      <c r="N1" s="206"/>
      <c r="O1" s="206"/>
      <c r="P1" s="207"/>
      <c r="Q1" s="205" t="s">
        <v>28</v>
      </c>
      <c r="R1" s="206"/>
      <c r="S1" s="206"/>
      <c r="T1" s="206"/>
      <c r="U1" s="207"/>
      <c r="V1" s="205" t="s">
        <v>28</v>
      </c>
      <c r="W1" s="206"/>
      <c r="X1" s="206"/>
      <c r="Y1" s="206"/>
      <c r="Z1" s="207"/>
      <c r="AA1" s="205" t="s">
        <v>28</v>
      </c>
      <c r="AB1" s="206"/>
      <c r="AC1" s="206"/>
      <c r="AD1" s="206"/>
      <c r="AE1" s="207"/>
    </row>
    <row r="2" spans="1:139" s="6" customFormat="1" ht="16.5" customHeight="1" thickBot="1">
      <c r="A2" s="203"/>
      <c r="B2" s="208" t="str">
        <f>IF(ISBLANK('Základní list'!$A11),"",'Základní list'!$A11)</f>
        <v>A</v>
      </c>
      <c r="C2" s="209"/>
      <c r="D2" s="209"/>
      <c r="E2" s="209"/>
      <c r="F2" s="210"/>
      <c r="G2" s="208" t="str">
        <f>IF(ISBLANK('Základní list'!$A12),"",'Základní list'!$A12)</f>
        <v>B</v>
      </c>
      <c r="H2" s="209"/>
      <c r="I2" s="209"/>
      <c r="J2" s="209"/>
      <c r="K2" s="210"/>
      <c r="L2" s="208" t="str">
        <f>IF(ISBLANK('Základní list'!$A13),"",'Základní list'!$A13)</f>
        <v>C</v>
      </c>
      <c r="M2" s="209"/>
      <c r="N2" s="209"/>
      <c r="O2" s="209"/>
      <c r="P2" s="210"/>
      <c r="Q2" s="208" t="str">
        <f>IF(ISBLANK('Základní list'!$A14),"",'Základní list'!$A14)</f>
        <v>D</v>
      </c>
      <c r="R2" s="209"/>
      <c r="S2" s="209"/>
      <c r="T2" s="209"/>
      <c r="U2" s="210"/>
      <c r="V2" s="208" t="str">
        <f>IF(ISBLANK('Základní list'!$A15),"",'Základní list'!$A15)</f>
        <v>E</v>
      </c>
      <c r="W2" s="209"/>
      <c r="X2" s="209"/>
      <c r="Y2" s="209"/>
      <c r="Z2" s="210"/>
      <c r="AA2" s="208" t="str">
        <f>IF(ISBLANK('Základní list'!$A16),"",'Základní list'!$A16)</f>
        <v>F</v>
      </c>
      <c r="AB2" s="209"/>
      <c r="AC2" s="209"/>
      <c r="AD2" s="209"/>
      <c r="AE2" s="210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</row>
    <row r="3" spans="1:139" s="7" customFormat="1" ht="25.5" customHeight="1" thickBot="1">
      <c r="A3" s="204"/>
      <c r="B3" s="1" t="s">
        <v>14</v>
      </c>
      <c r="C3" s="2" t="s">
        <v>15</v>
      </c>
      <c r="D3" s="37" t="s">
        <v>27</v>
      </c>
      <c r="E3" s="50" t="s">
        <v>16</v>
      </c>
      <c r="F3" s="52"/>
      <c r="G3" s="1" t="s">
        <v>14</v>
      </c>
      <c r="H3" s="2" t="s">
        <v>15</v>
      </c>
      <c r="I3" s="37" t="s">
        <v>27</v>
      </c>
      <c r="J3" s="50" t="s">
        <v>16</v>
      </c>
      <c r="K3" s="52"/>
      <c r="L3" s="1" t="s">
        <v>14</v>
      </c>
      <c r="M3" s="2" t="s">
        <v>15</v>
      </c>
      <c r="N3" s="37" t="s">
        <v>27</v>
      </c>
      <c r="O3" s="50" t="s">
        <v>16</v>
      </c>
      <c r="P3" s="52" t="s">
        <v>52</v>
      </c>
      <c r="Q3" s="1" t="s">
        <v>14</v>
      </c>
      <c r="R3" s="2" t="s">
        <v>15</v>
      </c>
      <c r="S3" s="37" t="s">
        <v>27</v>
      </c>
      <c r="T3" s="50" t="s">
        <v>16</v>
      </c>
      <c r="U3" s="52" t="s">
        <v>52</v>
      </c>
      <c r="V3" s="1" t="s">
        <v>14</v>
      </c>
      <c r="W3" s="2" t="s">
        <v>15</v>
      </c>
      <c r="X3" s="37" t="s">
        <v>27</v>
      </c>
      <c r="Y3" s="50" t="s">
        <v>16</v>
      </c>
      <c r="Z3" s="52" t="s">
        <v>52</v>
      </c>
      <c r="AA3" s="1" t="s">
        <v>14</v>
      </c>
      <c r="AB3" s="2" t="s">
        <v>15</v>
      </c>
      <c r="AC3" s="37" t="s">
        <v>27</v>
      </c>
      <c r="AD3" s="50" t="s">
        <v>16</v>
      </c>
      <c r="AE3" s="52" t="s">
        <v>52</v>
      </c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</row>
    <row r="4" spans="1:139" s="8" customFormat="1" ht="34.5" customHeight="1">
      <c r="A4" s="3">
        <v>1</v>
      </c>
      <c r="B4" s="55" t="str">
        <f>IF(ISNA(MATCH(CONCATENATE(B$2,$A4),'Výsledková listina'!$Q:$Q,0)),"",INDEX('Výsledková listina'!$B:$B,MATCH(CONCATENATE(B$2,$A4),'Výsledková listina'!$Q:$Q,0),1))</f>
        <v>Kříž Petr</v>
      </c>
      <c r="C4" s="4">
        <v>1350</v>
      </c>
      <c r="D4" s="38">
        <f aca="true" t="shared" si="0" ref="D4:D13">IF(C4="","",RANK(C4,C$1:C$65536,0))</f>
        <v>7</v>
      </c>
      <c r="E4" s="51">
        <f aca="true" t="shared" si="1" ref="E4:E13">IF(C4="","",((RANK(C4,C$1:C$65536,0))+(FREQUENCY(D$1:D$65536,D4)))/2)</f>
        <v>7</v>
      </c>
      <c r="F4" s="53"/>
      <c r="G4" s="55" t="str">
        <f>IF(ISNA(MATCH(CONCATENATE(G$2,$A4),'Výsledková listina'!$Q:$Q,0)),"",INDEX('Výsledková listina'!$B:$B,MATCH(CONCATENATE(G$2,$A4),'Výsledková listina'!$Q:$Q,0),1))</f>
        <v>Řehoř Michal</v>
      </c>
      <c r="H4" s="4">
        <v>4100</v>
      </c>
      <c r="I4" s="38">
        <f aca="true" t="shared" si="2" ref="I4:I13">IF(H4="","",RANK(H4,H$1:H$65536,0))</f>
        <v>3</v>
      </c>
      <c r="J4" s="51">
        <f aca="true" t="shared" si="3" ref="J4:J13">IF(H4="","",((RANK(H4,H$1:H$65536,0))+(FREQUENCY(I$1:I$65536,I4)))/2)</f>
        <v>3</v>
      </c>
      <c r="K4" s="53"/>
      <c r="L4" s="55" t="str">
        <f>IF(ISNA(MATCH(CONCATENATE(L$2,$A4),'Výsledková listina'!$Q:$Q,0)),"",INDEX('Výsledková listina'!$B:$B,MATCH(CONCATENATE(L$2,$A4),'Výsledková listina'!$Q:$Q,0),1))</f>
        <v>Hanousek Václav</v>
      </c>
      <c r="M4" s="4">
        <v>1150</v>
      </c>
      <c r="N4" s="38">
        <f aca="true" t="shared" si="4" ref="N4:N13">IF(M4="","",RANK(M4,M$1:M$65536,0))</f>
        <v>6</v>
      </c>
      <c r="O4" s="51">
        <f aca="true" t="shared" si="5" ref="O4:O13">IF(M4="","",((RANK(M4,M$1:M$65536,0))+(FREQUENCY(N$1:N$65536,N4)))/2)</f>
        <v>6.5</v>
      </c>
      <c r="P4" s="53"/>
      <c r="Q4" s="55" t="str">
        <f>IF(ISNA(MATCH(CONCATENATE(Q$2,$A4),'Výsledková listina'!$Q:$Q,0)),"",INDEX('Výsledková listina'!$B:$B,MATCH(CONCATENATE(Q$2,$A4),'Výsledková listina'!$Q:$Q,0),1))</f>
        <v>Bromovský Petr</v>
      </c>
      <c r="R4" s="4">
        <v>2280</v>
      </c>
      <c r="S4" s="38">
        <f aca="true" t="shared" si="6" ref="S4:S13">IF(R4="","",RANK(R4,R$1:R$65536,0))</f>
        <v>6</v>
      </c>
      <c r="T4" s="51">
        <f aca="true" t="shared" si="7" ref="T4:T13">IF(R4="","",((RANK(R4,R$1:R$65536,0))+(FREQUENCY(S$1:S$65536,S4)))/2)</f>
        <v>6</v>
      </c>
      <c r="U4" s="53"/>
      <c r="V4" s="55" t="str">
        <f>IF(ISNA(MATCH(CONCATENATE(V$2,$A4),'Výsledková listina'!$Q:$Q,0)),"",INDEX('Výsledková listina'!$B:$B,MATCH(CONCATENATE(V$2,$A4),'Výsledková listina'!$Q:$Q,0),1))</f>
        <v>Sičák Pavel</v>
      </c>
      <c r="W4" s="4">
        <v>860</v>
      </c>
      <c r="X4" s="38">
        <f aca="true" t="shared" si="8" ref="X4:X13">IF(W4="","",RANK(W4,W$1:W$65536,0))</f>
        <v>6</v>
      </c>
      <c r="Y4" s="51">
        <f aca="true" t="shared" si="9" ref="Y4:Y13">IF(W4="","",((RANK(W4,W$1:W$65536,0))+(FREQUENCY(X$1:X$65536,X4)))/2)</f>
        <v>6</v>
      </c>
      <c r="Z4" s="53"/>
      <c r="AA4" s="55" t="str">
        <f>IF(ISNA(MATCH(CONCATENATE(AA$2,$A4),'Výsledková listina'!$Q:$Q,0)),"",INDEX('Výsledková listina'!$B:$B,MATCH(CONCATENATE(AA$2,$A4),'Výsledková listina'!$Q:$Q,0),1))</f>
        <v>Krýsl Pavel</v>
      </c>
      <c r="AB4" s="4">
        <v>2280</v>
      </c>
      <c r="AC4" s="38">
        <f aca="true" t="shared" si="10" ref="AC4:AC13">IF(AB4="","",RANK(AB4,AB$1:AB$65536,0))</f>
        <v>4</v>
      </c>
      <c r="AD4" s="51">
        <f aca="true" t="shared" si="11" ref="AD4:AD13">IF(AB4="","",((RANK(AB4,AB$1:AB$65536,0))+(FREQUENCY(AC$1:AC$65536,AC4)))/2)</f>
        <v>4</v>
      </c>
      <c r="AE4" s="53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</row>
    <row r="5" spans="1:139" s="8" customFormat="1" ht="34.5" customHeight="1">
      <c r="A5" s="5">
        <v>2</v>
      </c>
      <c r="B5" s="55" t="str">
        <f>IF(ISNA(MATCH(CONCATENATE(B$2,$A5),'Výsledková listina'!$Q:$Q,0)),"",INDEX('Výsledková listina'!$B:$B,MATCH(CONCATENATE(B$2,$A5),'Výsledková listina'!$Q:$Q,0),1))</f>
        <v>Kocián Oldřich</v>
      </c>
      <c r="C5" s="4">
        <v>500</v>
      </c>
      <c r="D5" s="38">
        <f t="shared" si="0"/>
        <v>10</v>
      </c>
      <c r="E5" s="51">
        <f t="shared" si="1"/>
        <v>10</v>
      </c>
      <c r="F5" s="54"/>
      <c r="G5" s="55" t="str">
        <f>IF(ISNA(MATCH(CONCATENATE(G$2,$A5),'Výsledková listina'!$Q:$Q,0)),"",INDEX('Výsledková listina'!$B:$B,MATCH(CONCATENATE(G$2,$A5),'Výsledková listina'!$Q:$Q,0),1))</f>
        <v>Vitebský Jakub </v>
      </c>
      <c r="H5" s="4">
        <v>1300</v>
      </c>
      <c r="I5" s="38">
        <f t="shared" si="2"/>
        <v>5</v>
      </c>
      <c r="J5" s="51">
        <f t="shared" si="3"/>
        <v>5.5</v>
      </c>
      <c r="K5" s="54"/>
      <c r="L5" s="55" t="str">
        <f>IF(ISNA(MATCH(CONCATENATE(L$2,$A5),'Výsledková listina'!$Q:$Q,0)),"",INDEX('Výsledková listina'!$B:$B,MATCH(CONCATENATE(L$2,$A5),'Výsledková listina'!$Q:$Q,0),1))</f>
        <v>Stříbrský Viktor</v>
      </c>
      <c r="M5" s="4">
        <v>100</v>
      </c>
      <c r="N5" s="38">
        <f t="shared" si="4"/>
        <v>10</v>
      </c>
      <c r="O5" s="51">
        <f t="shared" si="5"/>
        <v>10</v>
      </c>
      <c r="P5" s="54"/>
      <c r="Q5" s="55" t="str">
        <f>IF(ISNA(MATCH(CONCATENATE(Q$2,$A5),'Výsledková listina'!$Q:$Q,0)),"",INDEX('Výsledková listina'!$B:$B,MATCH(CONCATENATE(Q$2,$A5),'Výsledková listina'!$Q:$Q,0),1))</f>
        <v>Hahn Petr</v>
      </c>
      <c r="R5" s="4">
        <v>4200</v>
      </c>
      <c r="S5" s="38">
        <f t="shared" si="6"/>
        <v>2</v>
      </c>
      <c r="T5" s="51">
        <f t="shared" si="7"/>
        <v>2</v>
      </c>
      <c r="U5" s="54"/>
      <c r="V5" s="55" t="str">
        <f>IF(ISNA(MATCH(CONCATENATE(V$2,$A5),'Výsledková listina'!$Q:$Q,0)),"",INDEX('Výsledková listina'!$B:$B,MATCH(CONCATENATE(V$2,$A5),'Výsledková listina'!$Q:$Q,0),1))</f>
        <v>Havlíček Petr</v>
      </c>
      <c r="W5" s="4">
        <v>2960</v>
      </c>
      <c r="X5" s="38">
        <f t="shared" si="8"/>
        <v>1</v>
      </c>
      <c r="Y5" s="51">
        <f t="shared" si="9"/>
        <v>1</v>
      </c>
      <c r="Z5" s="54"/>
      <c r="AA5" s="55" t="str">
        <f>IF(ISNA(MATCH(CONCATENATE(AA$2,$A5),'Výsledková listina'!$Q:$Q,0)),"",INDEX('Výsledková listina'!$B:$B,MATCH(CONCATENATE(AA$2,$A5),'Výsledková listina'!$Q:$Q,0),1))</f>
        <v>Hrabal Vladimír</v>
      </c>
      <c r="AB5" s="4">
        <v>2340</v>
      </c>
      <c r="AC5" s="38">
        <f t="shared" si="10"/>
        <v>3</v>
      </c>
      <c r="AD5" s="51">
        <f t="shared" si="11"/>
        <v>3</v>
      </c>
      <c r="AE5" s="54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</row>
    <row r="6" spans="1:139" s="8" customFormat="1" ht="34.5" customHeight="1">
      <c r="A6" s="5">
        <v>3</v>
      </c>
      <c r="B6" s="55" t="str">
        <f>IF(ISNA(MATCH(CONCATENATE(B$2,$A6),'Výsledková listina'!$Q:$Q,0)),"",INDEX('Výsledková listina'!$B:$B,MATCH(CONCATENATE(B$2,$A6),'Výsledková listina'!$Q:$Q,0),1))</f>
        <v>Reiser Petr</v>
      </c>
      <c r="C6" s="4">
        <v>650</v>
      </c>
      <c r="D6" s="38">
        <f t="shared" si="0"/>
        <v>9</v>
      </c>
      <c r="E6" s="51">
        <f t="shared" si="1"/>
        <v>9</v>
      </c>
      <c r="F6" s="54"/>
      <c r="G6" s="55" t="str">
        <f>IF(ISNA(MATCH(CONCATENATE(G$2,$A6),'Výsledková listina'!$Q:$Q,0)),"",INDEX('Výsledková listina'!$B:$B,MATCH(CONCATENATE(G$2,$A6),'Výsledková listina'!$Q:$Q,0),1))</f>
        <v>Štěpnička Radek</v>
      </c>
      <c r="H6" s="4">
        <v>7600</v>
      </c>
      <c r="I6" s="38">
        <f t="shared" si="2"/>
        <v>1</v>
      </c>
      <c r="J6" s="51">
        <f t="shared" si="3"/>
        <v>1</v>
      </c>
      <c r="K6" s="54"/>
      <c r="L6" s="55" t="str">
        <f>IF(ISNA(MATCH(CONCATENATE(L$2,$A6),'Výsledková listina'!$Q:$Q,0)),"",INDEX('Výsledková listina'!$B:$B,MATCH(CONCATENATE(L$2,$A6),'Výsledková listina'!$Q:$Q,0),1))</f>
        <v>Popadinec Richard</v>
      </c>
      <c r="M6" s="4">
        <v>2800</v>
      </c>
      <c r="N6" s="38">
        <f t="shared" si="4"/>
        <v>3</v>
      </c>
      <c r="O6" s="51">
        <f t="shared" si="5"/>
        <v>3</v>
      </c>
      <c r="P6" s="54"/>
      <c r="Q6" s="55" t="str">
        <f>IF(ISNA(MATCH(CONCATENATE(Q$2,$A6),'Výsledková listina'!$Q:$Q,0)),"",INDEX('Výsledková listina'!$B:$B,MATCH(CONCATENATE(Q$2,$A6),'Výsledková listina'!$Q:$Q,0),1))</f>
        <v>Kodýdek Jiří</v>
      </c>
      <c r="R6" s="4">
        <v>980</v>
      </c>
      <c r="S6" s="38">
        <f t="shared" si="6"/>
        <v>9</v>
      </c>
      <c r="T6" s="51">
        <f t="shared" si="7"/>
        <v>9</v>
      </c>
      <c r="U6" s="54"/>
      <c r="V6" s="55" t="str">
        <f>IF(ISNA(MATCH(CONCATENATE(V$2,$A6),'Výsledková listina'!$Q:$Q,0)),"",INDEX('Výsledková listina'!$B:$B,MATCH(CONCATENATE(V$2,$A6),'Výsledková listina'!$Q:$Q,0),1))</f>
        <v>Konopásek Jaroslav </v>
      </c>
      <c r="W6" s="4">
        <v>580</v>
      </c>
      <c r="X6" s="38">
        <f t="shared" si="8"/>
        <v>8</v>
      </c>
      <c r="Y6" s="51">
        <f t="shared" si="9"/>
        <v>8</v>
      </c>
      <c r="Z6" s="54"/>
      <c r="AA6" s="55" t="str">
        <f>IF(ISNA(MATCH(CONCATENATE(AA$2,$A6),'Výsledková listina'!$Q:$Q,0)),"",INDEX('Výsledková listina'!$B:$B,MATCH(CONCATENATE(AA$2,$A6),'Výsledková listina'!$Q:$Q,0),1))</f>
        <v>Baranka Vladimír</v>
      </c>
      <c r="AB6" s="4">
        <v>560</v>
      </c>
      <c r="AC6" s="38">
        <f t="shared" si="10"/>
        <v>9</v>
      </c>
      <c r="AD6" s="51">
        <f t="shared" si="11"/>
        <v>9</v>
      </c>
      <c r="AE6" s="54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</row>
    <row r="7" spans="1:139" s="8" customFormat="1" ht="34.5" customHeight="1">
      <c r="A7" s="5">
        <v>4</v>
      </c>
      <c r="B7" s="55" t="str">
        <f>IF(ISNA(MATCH(CONCATENATE(B$2,$A7),'Výsledková listina'!$Q:$Q,0)),"",INDEX('Výsledková listina'!$B:$B,MATCH(CONCATENATE(B$2,$A7),'Výsledková listina'!$Q:$Q,0),1))</f>
        <v>Tůma David</v>
      </c>
      <c r="C7" s="4">
        <v>2050</v>
      </c>
      <c r="D7" s="38">
        <f t="shared" si="0"/>
        <v>5</v>
      </c>
      <c r="E7" s="51">
        <f t="shared" si="1"/>
        <v>5</v>
      </c>
      <c r="F7" s="54"/>
      <c r="G7" s="55" t="str">
        <f>IF(ISNA(MATCH(CONCATENATE(G$2,$A7),'Výsledková listina'!$Q:$Q,0)),"",INDEX('Výsledková listina'!$B:$B,MATCH(CONCATENATE(G$2,$A7),'Výsledková listina'!$Q:$Q,0),1))</f>
        <v>Podrápský Petr </v>
      </c>
      <c r="H7" s="4">
        <v>150</v>
      </c>
      <c r="I7" s="38">
        <f t="shared" si="2"/>
        <v>10</v>
      </c>
      <c r="J7" s="51">
        <f t="shared" si="3"/>
        <v>10</v>
      </c>
      <c r="K7" s="54"/>
      <c r="L7" s="55" t="str">
        <f>IF(ISNA(MATCH(CONCATENATE(L$2,$A7),'Výsledková listina'!$Q:$Q,0)),"",INDEX('Výsledková listina'!$B:$B,MATCH(CONCATENATE(L$2,$A7),'Výsledková listina'!$Q:$Q,0),1))</f>
        <v>Dušánek Bohuslav</v>
      </c>
      <c r="M7" s="4">
        <v>1400</v>
      </c>
      <c r="N7" s="38">
        <f t="shared" si="4"/>
        <v>5</v>
      </c>
      <c r="O7" s="51">
        <f t="shared" si="5"/>
        <v>5</v>
      </c>
      <c r="P7" s="54"/>
      <c r="Q7" s="55" t="str">
        <f>IF(ISNA(MATCH(CONCATENATE(Q$2,$A7),'Výsledková listina'!$Q:$Q,0)),"",INDEX('Výsledková listina'!$B:$B,MATCH(CONCATENATE(Q$2,$A7),'Výsledková listina'!$Q:$Q,0),1))</f>
        <v>Štěpnička Milan</v>
      </c>
      <c r="R7" s="4">
        <v>2740</v>
      </c>
      <c r="S7" s="38">
        <f t="shared" si="6"/>
        <v>4</v>
      </c>
      <c r="T7" s="51">
        <f t="shared" si="7"/>
        <v>4</v>
      </c>
      <c r="U7" s="54"/>
      <c r="V7" s="55" t="str">
        <f>IF(ISNA(MATCH(CONCATENATE(V$2,$A7),'Výsledková listina'!$Q:$Q,0)),"",INDEX('Výsledková listina'!$B:$B,MATCH(CONCATENATE(V$2,$A7),'Výsledková listina'!$Q:$Q,0),1))</f>
        <v>Douša Jan</v>
      </c>
      <c r="W7" s="4">
        <v>1840</v>
      </c>
      <c r="X7" s="38">
        <f t="shared" si="8"/>
        <v>3</v>
      </c>
      <c r="Y7" s="51">
        <f t="shared" si="9"/>
        <v>3</v>
      </c>
      <c r="Z7" s="54"/>
      <c r="AA7" s="55" t="str">
        <f>IF(ISNA(MATCH(CONCATENATE(AA$2,$A7),'Výsledková listina'!$Q:$Q,0)),"",INDEX('Výsledková listina'!$B:$B,MATCH(CONCATENATE(AA$2,$A7),'Výsledková listina'!$Q:$Q,0),1))</f>
        <v>Goda Jan</v>
      </c>
      <c r="AB7" s="4">
        <v>600</v>
      </c>
      <c r="AC7" s="38">
        <f t="shared" si="10"/>
        <v>8</v>
      </c>
      <c r="AD7" s="51">
        <f t="shared" si="11"/>
        <v>8</v>
      </c>
      <c r="AE7" s="54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</row>
    <row r="8" spans="1:139" s="8" customFormat="1" ht="34.5" customHeight="1">
      <c r="A8" s="5">
        <v>5</v>
      </c>
      <c r="B8" s="55" t="str">
        <f>IF(ISNA(MATCH(CONCATENATE(B$2,$A8),'Výsledková listina'!$Q:$Q,0)),"",INDEX('Výsledková listina'!$B:$B,MATCH(CONCATENATE(B$2,$A8),'Výsledková listina'!$Q:$Q,0),1))</f>
        <v>Funda Petr</v>
      </c>
      <c r="C8" s="4">
        <v>6050</v>
      </c>
      <c r="D8" s="38">
        <f t="shared" si="0"/>
        <v>1</v>
      </c>
      <c r="E8" s="51">
        <f t="shared" si="1"/>
        <v>1</v>
      </c>
      <c r="F8" s="54"/>
      <c r="G8" s="55" t="str">
        <f>IF(ISNA(MATCH(CONCATENATE(G$2,$A8),'Výsledková listina'!$Q:$Q,0)),"",INDEX('Výsledková listina'!$B:$B,MATCH(CONCATENATE(G$2,$A8),'Výsledková listina'!$Q:$Q,0),1))</f>
        <v>Bořuta Pavel</v>
      </c>
      <c r="H8" s="4">
        <v>1250</v>
      </c>
      <c r="I8" s="38">
        <f t="shared" si="2"/>
        <v>7</v>
      </c>
      <c r="J8" s="51">
        <f t="shared" si="3"/>
        <v>7</v>
      </c>
      <c r="K8" s="54"/>
      <c r="L8" s="55" t="str">
        <f>IF(ISNA(MATCH(CONCATENATE(L$2,$A8),'Výsledková listina'!$Q:$Q,0)),"",INDEX('Výsledková listina'!$B:$B,MATCH(CONCATENATE(L$2,$A8),'Výsledková listina'!$Q:$Q,0),1))</f>
        <v>Pelíšek František</v>
      </c>
      <c r="M8" s="4">
        <v>550</v>
      </c>
      <c r="N8" s="38">
        <f t="shared" si="4"/>
        <v>8</v>
      </c>
      <c r="O8" s="51">
        <f t="shared" si="5"/>
        <v>8</v>
      </c>
      <c r="P8" s="54"/>
      <c r="Q8" s="55" t="str">
        <f>IF(ISNA(MATCH(CONCATENATE(Q$2,$A8),'Výsledková listina'!$Q:$Q,0)),"",INDEX('Výsledková listina'!$B:$B,MATCH(CONCATENATE(Q$2,$A8),'Výsledková listina'!$Q:$Q,0),1))</f>
        <v>Koubek František</v>
      </c>
      <c r="R8" s="4">
        <v>2700</v>
      </c>
      <c r="S8" s="38">
        <f t="shared" si="6"/>
        <v>5</v>
      </c>
      <c r="T8" s="51">
        <f t="shared" si="7"/>
        <v>5</v>
      </c>
      <c r="U8" s="54"/>
      <c r="V8" s="55" t="str">
        <f>IF(ISNA(MATCH(CONCATENATE(V$2,$A8),'Výsledková listina'!$Q:$Q,0)),"",INDEX('Výsledková listina'!$B:$B,MATCH(CONCATENATE(V$2,$A8),'Výsledková listina'!$Q:$Q,0),1))</f>
        <v>Kabourek Václav</v>
      </c>
      <c r="W8" s="4">
        <v>1820</v>
      </c>
      <c r="X8" s="38">
        <f t="shared" si="8"/>
        <v>4</v>
      </c>
      <c r="Y8" s="51">
        <f t="shared" si="9"/>
        <v>4</v>
      </c>
      <c r="Z8" s="54"/>
      <c r="AA8" s="55" t="str">
        <f>IF(ISNA(MATCH(CONCATENATE(AA$2,$A8),'Výsledková listina'!$Q:$Q,0)),"",INDEX('Výsledková listina'!$B:$B,MATCH(CONCATENATE(AA$2,$A8),'Výsledková listina'!$Q:$Q,0),1))</f>
        <v>Chalupa Ladislav</v>
      </c>
      <c r="AB8" s="4">
        <v>3480</v>
      </c>
      <c r="AC8" s="38">
        <f t="shared" si="10"/>
        <v>1</v>
      </c>
      <c r="AD8" s="51">
        <f t="shared" si="11"/>
        <v>1</v>
      </c>
      <c r="AE8" s="54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</row>
    <row r="9" spans="1:139" s="8" customFormat="1" ht="34.5" customHeight="1">
      <c r="A9" s="5">
        <v>6</v>
      </c>
      <c r="B9" s="55" t="str">
        <f>IF(ISNA(MATCH(CONCATENATE(B$2,$A9),'Výsledková listina'!$Q:$Q,0)),"",INDEX('Výsledková listina'!$B:$B,MATCH(CONCATENATE(B$2,$A9),'Výsledková listina'!$Q:$Q,0),1))</f>
        <v>Janečka Martin</v>
      </c>
      <c r="C9" s="4">
        <v>4100</v>
      </c>
      <c r="D9" s="38">
        <f t="shared" si="0"/>
        <v>4</v>
      </c>
      <c r="E9" s="51">
        <f t="shared" si="1"/>
        <v>4</v>
      </c>
      <c r="F9" s="54"/>
      <c r="G9" s="55" t="str">
        <f>IF(ISNA(MATCH(CONCATENATE(G$2,$A9),'Výsledková listina'!$Q:$Q,0)),"",INDEX('Výsledková listina'!$B:$B,MATCH(CONCATENATE(G$2,$A9),'Výsledková listina'!$Q:$Q,0),1))</f>
        <v>Dorotík Tomáš</v>
      </c>
      <c r="H9" s="4">
        <v>1450</v>
      </c>
      <c r="I9" s="38">
        <f t="shared" si="2"/>
        <v>4</v>
      </c>
      <c r="J9" s="51">
        <f t="shared" si="3"/>
        <v>4</v>
      </c>
      <c r="K9" s="54"/>
      <c r="L9" s="55" t="str">
        <f>IF(ISNA(MATCH(CONCATENATE(L$2,$A9),'Výsledková listina'!$Q:$Q,0)),"",INDEX('Výsledková listina'!$B:$B,MATCH(CONCATENATE(L$2,$A9),'Výsledková listina'!$Q:$Q,0),1))</f>
        <v>Tychler Milan</v>
      </c>
      <c r="M9" s="4">
        <v>2650</v>
      </c>
      <c r="N9" s="38">
        <f t="shared" si="4"/>
        <v>4</v>
      </c>
      <c r="O9" s="51">
        <f t="shared" si="5"/>
        <v>4</v>
      </c>
      <c r="P9" s="54"/>
      <c r="Q9" s="55" t="str">
        <f>IF(ISNA(MATCH(CONCATENATE(Q$2,$A9),'Výsledková listina'!$Q:$Q,0)),"",INDEX('Výsledková listina'!$B:$B,MATCH(CONCATENATE(Q$2,$A9),'Výsledková listina'!$Q:$Q,0),1))</f>
        <v>Malypetr Zdeněk ml.</v>
      </c>
      <c r="R9" s="4">
        <v>280</v>
      </c>
      <c r="S9" s="38">
        <f t="shared" si="6"/>
        <v>10</v>
      </c>
      <c r="T9" s="51">
        <f t="shared" si="7"/>
        <v>10</v>
      </c>
      <c r="U9" s="54"/>
      <c r="V9" s="55" t="str">
        <f>IF(ISNA(MATCH(CONCATENATE(V$2,$A9),'Výsledková listina'!$Q:$Q,0)),"",INDEX('Výsledková listina'!$B:$B,MATCH(CONCATENATE(V$2,$A9),'Výsledková listina'!$Q:$Q,0),1))</f>
        <v>Kuchař Petr</v>
      </c>
      <c r="W9" s="4">
        <v>780</v>
      </c>
      <c r="X9" s="38">
        <f t="shared" si="8"/>
        <v>7</v>
      </c>
      <c r="Y9" s="51">
        <f t="shared" si="9"/>
        <v>7</v>
      </c>
      <c r="Z9" s="54"/>
      <c r="AA9" s="55" t="str">
        <f>IF(ISNA(MATCH(CONCATENATE(AA$2,$A9),'Výsledková listina'!$Q:$Q,0)),"",INDEX('Výsledková listina'!$B:$B,MATCH(CONCATENATE(AA$2,$A9),'Výsledková listina'!$Q:$Q,0),1))</f>
        <v>Sofron Pavel</v>
      </c>
      <c r="AB9" s="4">
        <v>3280</v>
      </c>
      <c r="AC9" s="38">
        <f t="shared" si="10"/>
        <v>2</v>
      </c>
      <c r="AD9" s="51">
        <f t="shared" si="11"/>
        <v>2</v>
      </c>
      <c r="AE9" s="54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</row>
    <row r="10" spans="1:139" s="8" customFormat="1" ht="34.5" customHeight="1">
      <c r="A10" s="5">
        <v>7</v>
      </c>
      <c r="B10" s="55" t="str">
        <f>IF(ISNA(MATCH(CONCATENATE(B$2,$A10),'Výsledková listina'!$Q:$Q,0)),"",INDEX('Výsledková listina'!$B:$B,MATCH(CONCATENATE(B$2,$A10),'Výsledková listina'!$Q:$Q,0),1))</f>
        <v>Vitásek Jiří</v>
      </c>
      <c r="C10" s="4">
        <v>5850</v>
      </c>
      <c r="D10" s="38">
        <f t="shared" si="0"/>
        <v>2</v>
      </c>
      <c r="E10" s="51">
        <f t="shared" si="1"/>
        <v>2</v>
      </c>
      <c r="F10" s="54"/>
      <c r="G10" s="55" t="str">
        <f>IF(ISNA(MATCH(CONCATENATE(G$2,$A10),'Výsledková listina'!$Q:$Q,0)),"",INDEX('Výsledková listina'!$B:$B,MATCH(CONCATENATE(G$2,$A10),'Výsledková listina'!$Q:$Q,0),1))</f>
        <v>Smutný Jiří</v>
      </c>
      <c r="H10" s="4">
        <v>1050</v>
      </c>
      <c r="I10" s="38">
        <f t="shared" si="2"/>
        <v>8</v>
      </c>
      <c r="J10" s="51">
        <f t="shared" si="3"/>
        <v>8</v>
      </c>
      <c r="K10" s="54"/>
      <c r="L10" s="55" t="str">
        <f>IF(ISNA(MATCH(CONCATENATE(L$2,$A10),'Výsledková listina'!$Q:$Q,0)),"",INDEX('Výsledková listina'!$B:$B,MATCH(CONCATENATE(L$2,$A10),'Výsledková listina'!$Q:$Q,0),1))</f>
        <v>Vodička Miloslav</v>
      </c>
      <c r="M10" s="4">
        <v>1150</v>
      </c>
      <c r="N10" s="38">
        <f t="shared" si="4"/>
        <v>6</v>
      </c>
      <c r="O10" s="51">
        <f t="shared" si="5"/>
        <v>6.5</v>
      </c>
      <c r="P10" s="54"/>
      <c r="Q10" s="55" t="str">
        <f>IF(ISNA(MATCH(CONCATENATE(Q$2,$A10),'Výsledková listina'!$Q:$Q,0)),"",INDEX('Výsledková listina'!$B:$B,MATCH(CONCATENATE(Q$2,$A10),'Výsledková listina'!$Q:$Q,0),1))</f>
        <v>Dohnal Josef</v>
      </c>
      <c r="R10" s="4">
        <v>1760</v>
      </c>
      <c r="S10" s="38">
        <f t="shared" si="6"/>
        <v>8</v>
      </c>
      <c r="T10" s="51">
        <f t="shared" si="7"/>
        <v>8</v>
      </c>
      <c r="U10" s="54"/>
      <c r="V10" s="55" t="str">
        <f>IF(ISNA(MATCH(CONCATENATE(V$2,$A10),'Výsledková listina'!$Q:$Q,0)),"",INDEX('Výsledková listina'!$B:$B,MATCH(CONCATENATE(V$2,$A10),'Výsledková listina'!$Q:$Q,0),1))</f>
        <v>Malypetr Zdeněk</v>
      </c>
      <c r="W10" s="4">
        <v>40</v>
      </c>
      <c r="X10" s="38">
        <f t="shared" si="8"/>
        <v>10</v>
      </c>
      <c r="Y10" s="51">
        <f t="shared" si="9"/>
        <v>10</v>
      </c>
      <c r="Z10" s="54"/>
      <c r="AA10" s="55" t="str">
        <f>IF(ISNA(MATCH(CONCATENATE(AA$2,$A10),'Výsledková listina'!$Q:$Q,0)),"",INDEX('Výsledková listina'!$B:$B,MATCH(CONCATENATE(AA$2,$A10),'Výsledková listina'!$Q:$Q,0),1))</f>
        <v>Karásek Pavel</v>
      </c>
      <c r="AB10" s="4">
        <v>300</v>
      </c>
      <c r="AC10" s="38">
        <f t="shared" si="10"/>
        <v>10</v>
      </c>
      <c r="AD10" s="51">
        <f t="shared" si="11"/>
        <v>10</v>
      </c>
      <c r="AE10" s="54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</row>
    <row r="11" spans="1:139" s="8" customFormat="1" ht="34.5" customHeight="1">
      <c r="A11" s="5">
        <v>8</v>
      </c>
      <c r="B11" s="55" t="str">
        <f>IF(ISNA(MATCH(CONCATENATE(B$2,$A11),'Výsledková listina'!$Q:$Q,0)),"",INDEX('Výsledková listina'!$B:$B,MATCH(CONCATENATE(B$2,$A11),'Výsledková listina'!$Q:$Q,0),1))</f>
        <v>Staněk Karel</v>
      </c>
      <c r="C11" s="4">
        <v>5150</v>
      </c>
      <c r="D11" s="38">
        <f t="shared" si="0"/>
        <v>3</v>
      </c>
      <c r="E11" s="51">
        <f t="shared" si="1"/>
        <v>3</v>
      </c>
      <c r="F11" s="54"/>
      <c r="G11" s="55" t="str">
        <f>IF(ISNA(MATCH(CONCATENATE(G$2,$A11),'Výsledková listina'!$Q:$Q,0)),"",INDEX('Výsledková listina'!$B:$B,MATCH(CONCATENATE(G$2,$A11),'Výsledková listina'!$Q:$Q,0),1))</f>
        <v>Tóth Petr</v>
      </c>
      <c r="H11" s="4">
        <v>1300</v>
      </c>
      <c r="I11" s="38">
        <f t="shared" si="2"/>
        <v>5</v>
      </c>
      <c r="J11" s="51">
        <f t="shared" si="3"/>
        <v>5.5</v>
      </c>
      <c r="K11" s="54"/>
      <c r="L11" s="55" t="str">
        <f>IF(ISNA(MATCH(CONCATENATE(L$2,$A11),'Výsledková listina'!$Q:$Q,0)),"",INDEX('Výsledková listina'!$B:$B,MATCH(CONCATENATE(L$2,$A11),'Výsledková listina'!$Q:$Q,0),1))</f>
        <v>Juřík Milan</v>
      </c>
      <c r="M11" s="4">
        <v>4150</v>
      </c>
      <c r="N11" s="38">
        <f t="shared" si="4"/>
        <v>2</v>
      </c>
      <c r="O11" s="51">
        <f t="shared" si="5"/>
        <v>2</v>
      </c>
      <c r="P11" s="54"/>
      <c r="Q11" s="55" t="str">
        <f>IF(ISNA(MATCH(CONCATENATE(Q$2,$A11),'Výsledková listina'!$Q:$Q,0)),"",INDEX('Výsledková listina'!$B:$B,MATCH(CONCATENATE(Q$2,$A11),'Výsledková listina'!$Q:$Q,0),1))</f>
        <v>Ouředníček Jiří</v>
      </c>
      <c r="R11" s="4">
        <v>6460</v>
      </c>
      <c r="S11" s="38">
        <f t="shared" si="6"/>
        <v>1</v>
      </c>
      <c r="T11" s="51">
        <f t="shared" si="7"/>
        <v>1</v>
      </c>
      <c r="U11" s="54"/>
      <c r="V11" s="55" t="str">
        <f>IF(ISNA(MATCH(CONCATENATE(V$2,$A11),'Výsledková listina'!$Q:$Q,0)),"",INDEX('Výsledková listina'!$B:$B,MATCH(CONCATENATE(V$2,$A11),'Výsledková listina'!$Q:$Q,0),1))</f>
        <v>Panocha Josef</v>
      </c>
      <c r="W11" s="4">
        <v>180</v>
      </c>
      <c r="X11" s="38">
        <f t="shared" si="8"/>
        <v>9</v>
      </c>
      <c r="Y11" s="51">
        <f t="shared" si="9"/>
        <v>9</v>
      </c>
      <c r="Z11" s="54"/>
      <c r="AA11" s="55" t="str">
        <f>IF(ISNA(MATCH(CONCATENATE(AA$2,$A11),'Výsledková listina'!$Q:$Q,0)),"",INDEX('Výsledková listina'!$B:$B,MATCH(CONCATENATE(AA$2,$A11),'Výsledková listina'!$Q:$Q,0),1))</f>
        <v>Peřina Josef</v>
      </c>
      <c r="AB11" s="4">
        <v>1600</v>
      </c>
      <c r="AC11" s="38">
        <f t="shared" si="10"/>
        <v>6</v>
      </c>
      <c r="AD11" s="51">
        <f t="shared" si="11"/>
        <v>6</v>
      </c>
      <c r="AE11" s="54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</row>
    <row r="12" spans="1:139" s="8" customFormat="1" ht="34.5" customHeight="1">
      <c r="A12" s="5">
        <v>9</v>
      </c>
      <c r="B12" s="55" t="str">
        <f>IF(ISNA(MATCH(CONCATENATE(B$2,$A12),'Výsledková listina'!$Q:$Q,0)),"",INDEX('Výsledková listina'!$B:$B,MATCH(CONCATENATE(B$2,$A12),'Výsledková listina'!$Q:$Q,0),1))</f>
        <v>Stejskal Miroslav</v>
      </c>
      <c r="C12" s="4">
        <v>1100</v>
      </c>
      <c r="D12" s="38">
        <f t="shared" si="0"/>
        <v>8</v>
      </c>
      <c r="E12" s="51">
        <f t="shared" si="1"/>
        <v>8</v>
      </c>
      <c r="F12" s="54"/>
      <c r="G12" s="55" t="str">
        <f>IF(ISNA(MATCH(CONCATENATE(G$2,$A12),'Výsledková listina'!$Q:$Q,0)),"",INDEX('Výsledková listina'!$B:$B,MATCH(CONCATENATE(G$2,$A12),'Výsledková listina'!$Q:$Q,0),1))</f>
        <v>Srb Roman</v>
      </c>
      <c r="H12" s="4">
        <v>7200</v>
      </c>
      <c r="I12" s="38">
        <f t="shared" si="2"/>
        <v>2</v>
      </c>
      <c r="J12" s="51">
        <f t="shared" si="3"/>
        <v>2</v>
      </c>
      <c r="K12" s="54"/>
      <c r="L12" s="55" t="str">
        <f>IF(ISNA(MATCH(CONCATENATE(L$2,$A12),'Výsledková listina'!$Q:$Q,0)),"",INDEX('Výsledková listina'!$B:$B,MATCH(CONCATENATE(L$2,$A12),'Výsledková listina'!$Q:$Q,0),1))</f>
        <v>Soukup Michal</v>
      </c>
      <c r="M12" s="4">
        <v>200</v>
      </c>
      <c r="N12" s="38">
        <f t="shared" si="4"/>
        <v>9</v>
      </c>
      <c r="O12" s="51">
        <f t="shared" si="5"/>
        <v>9</v>
      </c>
      <c r="P12" s="54"/>
      <c r="Q12" s="55" t="str">
        <f>IF(ISNA(MATCH(CONCATENATE(Q$2,$A12),'Výsledková listina'!$Q:$Q,0)),"",INDEX('Výsledková listina'!$B:$B,MATCH(CONCATENATE(Q$2,$A12),'Výsledková listina'!$Q:$Q,0),1))</f>
        <v>Šurgota Juraj</v>
      </c>
      <c r="R12" s="4">
        <v>2080</v>
      </c>
      <c r="S12" s="38">
        <f t="shared" si="6"/>
        <v>7</v>
      </c>
      <c r="T12" s="51">
        <f t="shared" si="7"/>
        <v>7</v>
      </c>
      <c r="U12" s="54"/>
      <c r="V12" s="55" t="str">
        <f>IF(ISNA(MATCH(CONCATENATE(V$2,$A12),'Výsledková listina'!$Q:$Q,0)),"",INDEX('Výsledková listina'!$B:$B,MATCH(CONCATENATE(V$2,$A12),'Výsledková listina'!$Q:$Q,0),1))</f>
        <v>Janiš Jiří</v>
      </c>
      <c r="W12" s="4">
        <v>1180</v>
      </c>
      <c r="X12" s="38">
        <f t="shared" si="8"/>
        <v>5</v>
      </c>
      <c r="Y12" s="51">
        <f t="shared" si="9"/>
        <v>5</v>
      </c>
      <c r="Z12" s="54"/>
      <c r="AA12" s="55" t="str">
        <f>IF(ISNA(MATCH(CONCATENATE(AA$2,$A12),'Výsledková listina'!$Q:$Q,0)),"",INDEX('Výsledková listina'!$B:$B,MATCH(CONCATENATE(AA$2,$A12),'Výsledková listina'!$Q:$Q,0),1))</f>
        <v>Kasl Luboš</v>
      </c>
      <c r="AB12" s="4">
        <v>660</v>
      </c>
      <c r="AC12" s="38">
        <f t="shared" si="10"/>
        <v>7</v>
      </c>
      <c r="AD12" s="51">
        <f t="shared" si="11"/>
        <v>7</v>
      </c>
      <c r="AE12" s="54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</row>
    <row r="13" spans="1:139" s="8" customFormat="1" ht="34.5" customHeight="1">
      <c r="A13" s="5">
        <v>10</v>
      </c>
      <c r="B13" s="55" t="str">
        <f>IF(ISNA(MATCH(CONCATENATE(B$2,$A13),'Výsledková listina'!$Q:$Q,0)),"",INDEX('Výsledková listina'!$B:$B,MATCH(CONCATENATE(B$2,$A13),'Výsledková listina'!$Q:$Q,0),1))</f>
        <v>Vinař René</v>
      </c>
      <c r="C13" s="4">
        <v>1500</v>
      </c>
      <c r="D13" s="38">
        <f t="shared" si="0"/>
        <v>6</v>
      </c>
      <c r="E13" s="51">
        <f t="shared" si="1"/>
        <v>6</v>
      </c>
      <c r="F13" s="54"/>
      <c r="G13" s="55" t="str">
        <f>IF(ISNA(MATCH(CONCATENATE(G$2,$A13),'Výsledková listina'!$Q:$Q,0)),"",INDEX('Výsledková listina'!$B:$B,MATCH(CONCATENATE(G$2,$A13),'Výsledková listina'!$Q:$Q,0),1))</f>
        <v>Hlína Václav</v>
      </c>
      <c r="H13" s="4">
        <v>300</v>
      </c>
      <c r="I13" s="38">
        <f t="shared" si="2"/>
        <v>9</v>
      </c>
      <c r="J13" s="51">
        <f t="shared" si="3"/>
        <v>9</v>
      </c>
      <c r="K13" s="54"/>
      <c r="L13" s="55" t="str">
        <f>IF(ISNA(MATCH(CONCATENATE(L$2,$A13),'Výsledková listina'!$Q:$Q,0)),"",INDEX('Výsledková listina'!$B:$B,MATCH(CONCATENATE(L$2,$A13),'Výsledková listina'!$Q:$Q,0),1))</f>
        <v>Pavelka Viktor</v>
      </c>
      <c r="M13" s="4">
        <v>11850</v>
      </c>
      <c r="N13" s="38">
        <f t="shared" si="4"/>
        <v>1</v>
      </c>
      <c r="O13" s="51">
        <f t="shared" si="5"/>
        <v>1</v>
      </c>
      <c r="P13" s="54"/>
      <c r="Q13" s="55" t="str">
        <f>IF(ISNA(MATCH(CONCATENATE(Q$2,$A13),'Výsledková listina'!$Q:$Q,0)),"",INDEX('Výsledková listina'!$B:$B,MATCH(CONCATENATE(Q$2,$A13),'Výsledková listina'!$Q:$Q,0),1))</f>
        <v>Vávra Jiří</v>
      </c>
      <c r="R13" s="4">
        <v>2980</v>
      </c>
      <c r="S13" s="38">
        <f t="shared" si="6"/>
        <v>3</v>
      </c>
      <c r="T13" s="51">
        <f t="shared" si="7"/>
        <v>3</v>
      </c>
      <c r="U13" s="54"/>
      <c r="V13" s="55" t="str">
        <f>IF(ISNA(MATCH(CONCATENATE(V$2,$A13),'Výsledková listina'!$Q:$Q,0)),"",INDEX('Výsledková listina'!$B:$B,MATCH(CONCATENATE(V$2,$A13),'Výsledková listina'!$Q:$Q,0),1))</f>
        <v>Sládek Petr</v>
      </c>
      <c r="W13" s="4">
        <v>1960</v>
      </c>
      <c r="X13" s="38">
        <f t="shared" si="8"/>
        <v>2</v>
      </c>
      <c r="Y13" s="51">
        <f t="shared" si="9"/>
        <v>2</v>
      </c>
      <c r="Z13" s="54"/>
      <c r="AA13" s="55" t="str">
        <f>IF(ISNA(MATCH(CONCATENATE(AA$2,$A13),'Výsledková listina'!$Q:$Q,0)),"",INDEX('Výsledková listina'!$B:$B,MATCH(CONCATENATE(AA$2,$A13),'Výsledková listina'!$Q:$Q,0),1))</f>
        <v>Ouředníček Jan</v>
      </c>
      <c r="AB13" s="4">
        <v>1900</v>
      </c>
      <c r="AC13" s="38">
        <f t="shared" si="10"/>
        <v>5</v>
      </c>
      <c r="AD13" s="51">
        <f t="shared" si="11"/>
        <v>5</v>
      </c>
      <c r="AE13" s="54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</row>
    <row r="15" spans="2:27" ht="15.75">
      <c r="B15" s="10"/>
      <c r="G15" s="10"/>
      <c r="L15" s="10"/>
      <c r="Q15" s="10"/>
      <c r="V15" s="10"/>
      <c r="AA15" s="10"/>
    </row>
    <row r="16" ht="15.75">
      <c r="B16" s="13"/>
    </row>
  </sheetData>
  <sheetProtection/>
  <mergeCells count="13">
    <mergeCell ref="G2:K2"/>
    <mergeCell ref="L2:P2"/>
    <mergeCell ref="Q2:U2"/>
    <mergeCell ref="A1:A3"/>
    <mergeCell ref="B1:F1"/>
    <mergeCell ref="B2:F2"/>
    <mergeCell ref="V1:Z1"/>
    <mergeCell ref="AA1:AE1"/>
    <mergeCell ref="V2:Z2"/>
    <mergeCell ref="G1:K1"/>
    <mergeCell ref="AA2:AE2"/>
    <mergeCell ref="L1:P1"/>
    <mergeCell ref="Q1:U1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5" manualBreakCount="5">
    <brk id="6" max="65535" man="1"/>
    <brk id="11" max="65535" man="1"/>
    <brk id="16" max="65535" man="1"/>
    <brk id="21" max="65535" man="1"/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"/>
  <sheetViews>
    <sheetView showGridLines="0" view="pageBreakPreview" zoomScale="75" zoomScaleNormal="50" zoomScaleSheetLayoutView="75" zoomScalePageLayoutView="0" workbookViewId="0" topLeftCell="A1">
      <pane xSplit="1" ySplit="3" topLeftCell="G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L13" sqref="L13"/>
    </sheetView>
  </sheetViews>
  <sheetFormatPr defaultColWidth="5.25390625" defaultRowHeight="12.75"/>
  <cols>
    <col min="1" max="1" width="6.625" style="9" customWidth="1"/>
    <col min="2" max="2" width="37.00390625" style="14" customWidth="1"/>
    <col min="3" max="3" width="15.375" style="11" customWidth="1"/>
    <col min="4" max="4" width="4.00390625" style="35" hidden="1" customWidth="1"/>
    <col min="5" max="5" width="8.00390625" style="6" customWidth="1"/>
    <col min="6" max="6" width="22.00390625" style="6" customWidth="1"/>
    <col min="7" max="7" width="37.00390625" style="14" customWidth="1"/>
    <col min="8" max="8" width="15.375" style="11" customWidth="1"/>
    <col min="9" max="9" width="4.00390625" style="12" hidden="1" customWidth="1"/>
    <col min="10" max="10" width="8.00390625" style="6" customWidth="1"/>
    <col min="11" max="11" width="22.00390625" style="6" customWidth="1"/>
    <col min="12" max="12" width="37.00390625" style="14" customWidth="1"/>
    <col min="13" max="13" width="15.375" style="11" customWidth="1"/>
    <col min="14" max="14" width="4.00390625" style="12" hidden="1" customWidth="1"/>
    <col min="15" max="15" width="8.00390625" style="6" customWidth="1"/>
    <col min="16" max="16" width="22.00390625" style="6" customWidth="1"/>
    <col min="17" max="17" width="37.00390625" style="14" customWidth="1"/>
    <col min="18" max="18" width="15.375" style="11" customWidth="1"/>
    <col min="19" max="19" width="4.00390625" style="12" hidden="1" customWidth="1"/>
    <col min="20" max="20" width="8.00390625" style="6" customWidth="1"/>
    <col min="21" max="21" width="22.00390625" style="6" customWidth="1"/>
    <col min="22" max="22" width="37.00390625" style="14" customWidth="1"/>
    <col min="23" max="23" width="15.375" style="11" customWidth="1"/>
    <col min="24" max="24" width="4.00390625" style="12" hidden="1" customWidth="1"/>
    <col min="25" max="25" width="8.00390625" style="6" customWidth="1"/>
    <col min="26" max="26" width="22.00390625" style="6" customWidth="1"/>
    <col min="27" max="27" width="37.00390625" style="14" customWidth="1"/>
    <col min="28" max="28" width="15.375" style="11" customWidth="1"/>
    <col min="29" max="29" width="4.00390625" style="12" hidden="1" customWidth="1"/>
    <col min="30" max="30" width="8.00390625" style="6" customWidth="1"/>
    <col min="31" max="31" width="22.00390625" style="6" customWidth="1"/>
    <col min="32" max="102" width="5.25390625" style="11" customWidth="1"/>
    <col min="103" max="16384" width="5.25390625" style="12" customWidth="1"/>
  </cols>
  <sheetData>
    <row r="1" spans="1:31" ht="16.5" customHeight="1">
      <c r="A1" s="202" t="s">
        <v>13</v>
      </c>
      <c r="B1" s="205" t="s">
        <v>28</v>
      </c>
      <c r="C1" s="206"/>
      <c r="D1" s="206"/>
      <c r="E1" s="206"/>
      <c r="F1" s="207"/>
      <c r="G1" s="205" t="s">
        <v>28</v>
      </c>
      <c r="H1" s="206"/>
      <c r="I1" s="206"/>
      <c r="J1" s="206"/>
      <c r="K1" s="207"/>
      <c r="L1" s="205" t="s">
        <v>28</v>
      </c>
      <c r="M1" s="206"/>
      <c r="N1" s="206"/>
      <c r="O1" s="206"/>
      <c r="P1" s="207"/>
      <c r="Q1" s="205" t="s">
        <v>28</v>
      </c>
      <c r="R1" s="206"/>
      <c r="S1" s="206"/>
      <c r="T1" s="206"/>
      <c r="U1" s="207"/>
      <c r="V1" s="205" t="s">
        <v>28</v>
      </c>
      <c r="W1" s="206"/>
      <c r="X1" s="206"/>
      <c r="Y1" s="206"/>
      <c r="Z1" s="207"/>
      <c r="AA1" s="205" t="s">
        <v>28</v>
      </c>
      <c r="AB1" s="206"/>
      <c r="AC1" s="206"/>
      <c r="AD1" s="206"/>
      <c r="AE1" s="207"/>
    </row>
    <row r="2" spans="1:102" s="6" customFormat="1" ht="16.5" customHeight="1" thickBot="1">
      <c r="A2" s="203"/>
      <c r="B2" s="211" t="str">
        <f>'1. závod'!B2:E2</f>
        <v>A</v>
      </c>
      <c r="C2" s="212"/>
      <c r="D2" s="212"/>
      <c r="E2" s="212"/>
      <c r="F2" s="213"/>
      <c r="G2" s="211" t="str">
        <f>IF(ISBLANK('Základní list'!$A12),"",'Základní list'!$A12)</f>
        <v>B</v>
      </c>
      <c r="H2" s="212"/>
      <c r="I2" s="212"/>
      <c r="J2" s="212"/>
      <c r="K2" s="213"/>
      <c r="L2" s="211" t="str">
        <f>IF(ISBLANK('Základní list'!$A13),"",'Základní list'!$A13)</f>
        <v>C</v>
      </c>
      <c r="M2" s="212"/>
      <c r="N2" s="212"/>
      <c r="O2" s="212"/>
      <c r="P2" s="213"/>
      <c r="Q2" s="211" t="str">
        <f>IF(ISBLANK('Základní list'!$A14),"",'Základní list'!$A14)</f>
        <v>D</v>
      </c>
      <c r="R2" s="212"/>
      <c r="S2" s="212"/>
      <c r="T2" s="212"/>
      <c r="U2" s="213"/>
      <c r="V2" s="211" t="str">
        <f>IF(ISBLANK('Základní list'!$A15),"",'Základní list'!$A15)</f>
        <v>E</v>
      </c>
      <c r="W2" s="212"/>
      <c r="X2" s="212"/>
      <c r="Y2" s="212"/>
      <c r="Z2" s="213"/>
      <c r="AA2" s="211" t="str">
        <f>IF(ISBLANK('Základní list'!$A16),"",'Základní list'!$A16)</f>
        <v>F</v>
      </c>
      <c r="AB2" s="212"/>
      <c r="AC2" s="212"/>
      <c r="AD2" s="212"/>
      <c r="AE2" s="213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</row>
    <row r="3" spans="1:102" s="7" customFormat="1" ht="25.5" customHeight="1" thickBot="1">
      <c r="A3" s="204"/>
      <c r="B3" s="1" t="s">
        <v>14</v>
      </c>
      <c r="C3" s="2" t="s">
        <v>15</v>
      </c>
      <c r="D3" s="37" t="s">
        <v>27</v>
      </c>
      <c r="E3" s="50" t="s">
        <v>16</v>
      </c>
      <c r="F3" s="71" t="s">
        <v>52</v>
      </c>
      <c r="G3" s="1" t="s">
        <v>14</v>
      </c>
      <c r="H3" s="2" t="s">
        <v>15</v>
      </c>
      <c r="I3" s="37" t="s">
        <v>27</v>
      </c>
      <c r="J3" s="50" t="s">
        <v>16</v>
      </c>
      <c r="K3" s="71" t="s">
        <v>52</v>
      </c>
      <c r="L3" s="1" t="s">
        <v>14</v>
      </c>
      <c r="M3" s="2" t="s">
        <v>15</v>
      </c>
      <c r="N3" s="37" t="s">
        <v>27</v>
      </c>
      <c r="O3" s="50" t="s">
        <v>16</v>
      </c>
      <c r="P3" s="71" t="s">
        <v>52</v>
      </c>
      <c r="Q3" s="1" t="s">
        <v>14</v>
      </c>
      <c r="R3" s="2" t="s">
        <v>15</v>
      </c>
      <c r="S3" s="37" t="s">
        <v>27</v>
      </c>
      <c r="T3" s="50" t="s">
        <v>16</v>
      </c>
      <c r="U3" s="71" t="s">
        <v>52</v>
      </c>
      <c r="V3" s="1" t="s">
        <v>14</v>
      </c>
      <c r="W3" s="2" t="s">
        <v>15</v>
      </c>
      <c r="X3" s="37" t="s">
        <v>27</v>
      </c>
      <c r="Y3" s="50" t="s">
        <v>16</v>
      </c>
      <c r="Z3" s="71" t="s">
        <v>52</v>
      </c>
      <c r="AA3" s="1" t="s">
        <v>14</v>
      </c>
      <c r="AB3" s="2" t="s">
        <v>15</v>
      </c>
      <c r="AC3" s="37" t="s">
        <v>27</v>
      </c>
      <c r="AD3" s="50" t="s">
        <v>16</v>
      </c>
      <c r="AE3" s="71" t="s">
        <v>52</v>
      </c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</row>
    <row r="4" spans="1:102" s="8" customFormat="1" ht="34.5" customHeight="1">
      <c r="A4" s="3">
        <v>1</v>
      </c>
      <c r="B4" s="140" t="str">
        <f>IF(ISNA(MATCH(CONCATENATE(B$2,$A4),'Výsledková listina'!$R:$R,0)),"",INDEX('Výsledková listina'!$B:$B,MATCH(CONCATENATE(B$2,$A4),'Výsledková listina'!$R:$R,0),1))</f>
        <v>Staněk Karel</v>
      </c>
      <c r="C4" s="141">
        <v>950</v>
      </c>
      <c r="D4" s="142">
        <f aca="true" t="shared" si="0" ref="D4:D13">IF(C4="","",RANK(C4,C$1:C$65536,0))</f>
        <v>8</v>
      </c>
      <c r="E4" s="143">
        <f aca="true" t="shared" si="1" ref="E4:E13">IF(C4="","",((RANK(C4,C$1:C$65536,0))+(FREQUENCY(D$1:D$65536,D4)))/2)</f>
        <v>8</v>
      </c>
      <c r="F4" s="144"/>
      <c r="G4" s="55" t="str">
        <f>IF(ISNA(MATCH(CONCATENATE(G$2,$A4),'Výsledková listina'!$R:$R,0)),"",INDEX('Výsledková listina'!$B:$B,MATCH(CONCATENATE(G$2,$A4),'Výsledková listina'!$R:$R,0),1))</f>
        <v>Havlíček Petr</v>
      </c>
      <c r="H4" s="4">
        <v>1150</v>
      </c>
      <c r="I4" s="38">
        <f aca="true" t="shared" si="2" ref="I4:I13">IF(H4="","",RANK(H4,H$1:H$65536,0))</f>
        <v>7</v>
      </c>
      <c r="J4" s="72">
        <f aca="true" t="shared" si="3" ref="J4:J13">IF(H4="","",((RANK(H4,H$1:H$65536,0))+(FREQUENCY(I$1:I$65536,I4)))/2)</f>
        <v>7</v>
      </c>
      <c r="K4" s="56"/>
      <c r="L4" s="55" t="str">
        <f>IF(ISNA(MATCH(CONCATENATE(L$2,$A4),'Výsledková listina'!$R:$R,0)),"",INDEX('Výsledková listina'!$B:$B,MATCH(CONCATENATE(L$2,$A4),'Výsledková listina'!$R:$R,0),1))</f>
        <v>Hlína Václav</v>
      </c>
      <c r="M4" s="4">
        <v>0</v>
      </c>
      <c r="N4" s="38">
        <f aca="true" t="shared" si="4" ref="N4:N13">IF(M4="","",RANK(M4,M$1:M$65536,0))</f>
        <v>10</v>
      </c>
      <c r="O4" s="72">
        <f aca="true" t="shared" si="5" ref="O4:O13">IF(M4="","",((RANK(M4,M$1:M$65536,0))+(FREQUENCY(N$1:N$65536,N4)))/2)</f>
        <v>10</v>
      </c>
      <c r="P4" s="56"/>
      <c r="Q4" s="55" t="str">
        <f>IF(ISNA(MATCH(CONCATENATE(Q$2,$A4),'Výsledková listina'!$R:$R,0)),"",INDEX('Výsledková listina'!$B:$B,MATCH(CONCATENATE(Q$2,$A4),'Výsledková listina'!$R:$R,0),1))</f>
        <v>Malypetr Zdeněk ml.</v>
      </c>
      <c r="R4" s="4">
        <v>660</v>
      </c>
      <c r="S4" s="38">
        <f aca="true" t="shared" si="6" ref="S4:S13">IF(R4="","",RANK(R4,R$1:R$65536,0))</f>
        <v>9</v>
      </c>
      <c r="T4" s="72">
        <f aca="true" t="shared" si="7" ref="T4:T13">IF(R4="","",((RANK(R4,R$1:R$65536,0))+(FREQUENCY(S$1:S$65536,S4)))/2)</f>
        <v>9</v>
      </c>
      <c r="U4" s="56"/>
      <c r="V4" s="55" t="str">
        <f>IF(ISNA(MATCH(CONCATENATE(V$2,$A4),'Výsledková listina'!$R:$R,0)),"",INDEX('Výsledková listina'!$B:$B,MATCH(CONCATENATE(V$2,$A4),'Výsledková listina'!$R:$R,0),1))</f>
        <v>Janiš Jiří</v>
      </c>
      <c r="W4" s="4">
        <v>880</v>
      </c>
      <c r="X4" s="38">
        <f aca="true" t="shared" si="8" ref="X4:X13">IF(W4="","",RANK(W4,W$1:W$65536,0))</f>
        <v>8</v>
      </c>
      <c r="Y4" s="72">
        <f aca="true" t="shared" si="9" ref="Y4:Y13">IF(W4="","",((RANK(W4,W$1:W$65536,0))+(FREQUENCY(X$1:X$65536,X4)))/2)</f>
        <v>8</v>
      </c>
      <c r="Z4" s="56"/>
      <c r="AA4" s="55" t="str">
        <f>IF(ISNA(MATCH(CONCATENATE(AA$2,$A4),'Výsledková listina'!$R:$R,0)),"",INDEX('Výsledková listina'!$B:$B,MATCH(CONCATENATE(AA$2,$A4),'Výsledková listina'!$R:$R,0),1))</f>
        <v>Juřík Milan</v>
      </c>
      <c r="AB4" s="4">
        <v>1960</v>
      </c>
      <c r="AC4" s="38">
        <f aca="true" t="shared" si="10" ref="AC4:AC13">IF(AB4="","",RANK(AB4,AB$1:AB$65536,0))</f>
        <v>4</v>
      </c>
      <c r="AD4" s="72">
        <f aca="true" t="shared" si="11" ref="AD4:AD13">IF(AB4="","",((RANK(AB4,AB$1:AB$65536,0))+(FREQUENCY(AC$1:AC$65536,AC4)))/2)</f>
        <v>4</v>
      </c>
      <c r="AE4" s="56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</row>
    <row r="5" spans="1:102" s="8" customFormat="1" ht="34.5" customHeight="1">
      <c r="A5" s="5">
        <v>2</v>
      </c>
      <c r="B5" s="140" t="str">
        <f>IF(ISNA(MATCH(CONCATENATE(B$2,$A5),'Výsledková listina'!$R:$R,0)),"",INDEX('Výsledková listina'!$B:$B,MATCH(CONCATENATE(B$2,$A5),'Výsledková listina'!$R:$R,0),1))</f>
        <v>Stříbrský Viktor</v>
      </c>
      <c r="C5" s="141">
        <v>200</v>
      </c>
      <c r="D5" s="142">
        <f t="shared" si="0"/>
        <v>10</v>
      </c>
      <c r="E5" s="143">
        <f t="shared" si="1"/>
        <v>10</v>
      </c>
      <c r="F5" s="144"/>
      <c r="G5" s="55" t="str">
        <f>IF(ISNA(MATCH(CONCATENATE(G$2,$A5),'Výsledková listina'!$R:$R,0)),"",INDEX('Výsledková listina'!$B:$B,MATCH(CONCATENATE(G$2,$A5),'Výsledková listina'!$R:$R,0),1))</f>
        <v>Pelíšek František</v>
      </c>
      <c r="H5" s="4">
        <v>1300</v>
      </c>
      <c r="I5" s="38">
        <f t="shared" si="2"/>
        <v>6</v>
      </c>
      <c r="J5" s="72">
        <f t="shared" si="3"/>
        <v>6</v>
      </c>
      <c r="K5" s="56"/>
      <c r="L5" s="55" t="str">
        <f>IF(ISNA(MATCH(CONCATENATE(L$2,$A5),'Výsledková listina'!$R:$R,0)),"",INDEX('Výsledková listina'!$B:$B,MATCH(CONCATENATE(L$2,$A5),'Výsledková listina'!$R:$R,0),1))</f>
        <v>Podrápský Petr </v>
      </c>
      <c r="M5" s="4">
        <v>1500</v>
      </c>
      <c r="N5" s="38">
        <f t="shared" si="4"/>
        <v>4</v>
      </c>
      <c r="O5" s="72">
        <f t="shared" si="5"/>
        <v>4</v>
      </c>
      <c r="P5" s="56"/>
      <c r="Q5" s="55" t="str">
        <f>IF(ISNA(MATCH(CONCATENATE(Q$2,$A5),'Výsledková listina'!$R:$R,0)),"",INDEX('Výsledková listina'!$B:$B,MATCH(CONCATENATE(Q$2,$A5),'Výsledková listina'!$R:$R,0),1))</f>
        <v>Vinař René</v>
      </c>
      <c r="R5" s="4">
        <v>2140</v>
      </c>
      <c r="S5" s="38">
        <f t="shared" si="6"/>
        <v>4</v>
      </c>
      <c r="T5" s="72">
        <f t="shared" si="7"/>
        <v>4</v>
      </c>
      <c r="U5" s="56"/>
      <c r="V5" s="55" t="str">
        <f>IF(ISNA(MATCH(CONCATENATE(V$2,$A5),'Výsledková listina'!$R:$R,0)),"",INDEX('Výsledková listina'!$B:$B,MATCH(CONCATENATE(V$2,$A5),'Výsledková listina'!$R:$R,0),1))</f>
        <v>Tychler Milan</v>
      </c>
      <c r="W5" s="4">
        <v>3640</v>
      </c>
      <c r="X5" s="38">
        <f t="shared" si="8"/>
        <v>1</v>
      </c>
      <c r="Y5" s="72">
        <f t="shared" si="9"/>
        <v>1</v>
      </c>
      <c r="Z5" s="56"/>
      <c r="AA5" s="55" t="str">
        <f>IF(ISNA(MATCH(CONCATENATE(AA$2,$A5),'Výsledková listina'!$R:$R,0)),"",INDEX('Výsledková listina'!$B:$B,MATCH(CONCATENATE(AA$2,$A5),'Výsledková listina'!$R:$R,0),1))</f>
        <v>Tůma David</v>
      </c>
      <c r="AB5" s="4">
        <v>1460</v>
      </c>
      <c r="AC5" s="38">
        <f t="shared" si="10"/>
        <v>5</v>
      </c>
      <c r="AD5" s="72">
        <f t="shared" si="11"/>
        <v>5</v>
      </c>
      <c r="AE5" s="56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</row>
    <row r="6" spans="1:102" s="8" customFormat="1" ht="34.5" customHeight="1">
      <c r="A6" s="5">
        <v>3</v>
      </c>
      <c r="B6" s="55" t="str">
        <f>IF(ISNA(MATCH(CONCATENATE(B$2,$A6),'Výsledková listina'!$R:$R,0)),"",INDEX('Výsledková listina'!$B:$B,MATCH(CONCATENATE(B$2,$A6),'Výsledková listina'!$R:$R,0),1))</f>
        <v>Bořuta Pavel</v>
      </c>
      <c r="C6" s="4">
        <v>2450</v>
      </c>
      <c r="D6" s="38">
        <f t="shared" si="0"/>
        <v>4</v>
      </c>
      <c r="E6" s="72">
        <f t="shared" si="1"/>
        <v>4</v>
      </c>
      <c r="F6" s="56"/>
      <c r="G6" s="55" t="str">
        <f>IF(ISNA(MATCH(CONCATENATE(G$2,$A6),'Výsledková listina'!$R:$R,0)),"",INDEX('Výsledková listina'!$B:$B,MATCH(CONCATENATE(G$2,$A6),'Výsledková listina'!$R:$R,0),1))</f>
        <v>Kuchař Petr</v>
      </c>
      <c r="H6" s="4">
        <v>700</v>
      </c>
      <c r="I6" s="38">
        <f t="shared" si="2"/>
        <v>9</v>
      </c>
      <c r="J6" s="72">
        <f t="shared" si="3"/>
        <v>9</v>
      </c>
      <c r="K6" s="56"/>
      <c r="L6" s="55" t="str">
        <f>IF(ISNA(MATCH(CONCATENATE(L$2,$A6),'Výsledková listina'!$R:$R,0)),"",INDEX('Výsledková listina'!$B:$B,MATCH(CONCATENATE(L$2,$A6),'Výsledková listina'!$R:$R,0),1))</f>
        <v>Krýsl Pavel</v>
      </c>
      <c r="M6" s="4">
        <v>1850</v>
      </c>
      <c r="N6" s="38">
        <f t="shared" si="4"/>
        <v>2</v>
      </c>
      <c r="O6" s="72">
        <f t="shared" si="5"/>
        <v>2</v>
      </c>
      <c r="P6" s="56"/>
      <c r="Q6" s="55" t="str">
        <f>IF(ISNA(MATCH(CONCATENATE(Q$2,$A6),'Výsledková listina'!$R:$R,0)),"",INDEX('Výsledková listina'!$B:$B,MATCH(CONCATENATE(Q$2,$A6),'Výsledková listina'!$R:$R,0),1))</f>
        <v>Štěpnička Radek</v>
      </c>
      <c r="R6" s="4">
        <v>1460</v>
      </c>
      <c r="S6" s="38">
        <f t="shared" si="6"/>
        <v>5</v>
      </c>
      <c r="T6" s="72">
        <f t="shared" si="7"/>
        <v>5</v>
      </c>
      <c r="U6" s="56"/>
      <c r="V6" s="55" t="str">
        <f>IF(ISNA(MATCH(CONCATENATE(V$2,$A6),'Výsledková listina'!$R:$R,0)),"",INDEX('Výsledková listina'!$B:$B,MATCH(CONCATENATE(V$2,$A6),'Výsledková listina'!$R:$R,0),1))</f>
        <v>Chalupa Ladislav</v>
      </c>
      <c r="W6" s="4">
        <v>1600</v>
      </c>
      <c r="X6" s="38">
        <f t="shared" si="8"/>
        <v>6</v>
      </c>
      <c r="Y6" s="72">
        <f t="shared" si="9"/>
        <v>6</v>
      </c>
      <c r="Z6" s="56"/>
      <c r="AA6" s="55" t="str">
        <f>IF(ISNA(MATCH(CONCATENATE(AA$2,$A6),'Výsledková listina'!$R:$R,0)),"",INDEX('Výsledková listina'!$B:$B,MATCH(CONCATENATE(AA$2,$A6),'Výsledková listina'!$R:$R,0),1))</f>
        <v>Kříž Petr</v>
      </c>
      <c r="AB6" s="4">
        <v>220</v>
      </c>
      <c r="AC6" s="38">
        <f t="shared" si="10"/>
        <v>9</v>
      </c>
      <c r="AD6" s="72">
        <f t="shared" si="11"/>
        <v>9.5</v>
      </c>
      <c r="AE6" s="56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</row>
    <row r="7" spans="1:102" s="8" customFormat="1" ht="34.5" customHeight="1">
      <c r="A7" s="5">
        <v>4</v>
      </c>
      <c r="B7" s="140" t="str">
        <f>IF(ISNA(MATCH(CONCATENATE(B$2,$A7),'Výsledková listina'!$R:$R,0)),"",INDEX('Výsledková listina'!$B:$B,MATCH(CONCATENATE(B$2,$A7),'Výsledková listina'!$R:$R,0),1))</f>
        <v>Koubek František</v>
      </c>
      <c r="C7" s="141">
        <v>400</v>
      </c>
      <c r="D7" s="142">
        <f t="shared" si="0"/>
        <v>9</v>
      </c>
      <c r="E7" s="143">
        <f t="shared" si="1"/>
        <v>9</v>
      </c>
      <c r="F7" s="144"/>
      <c r="G7" s="55" t="str">
        <f>IF(ISNA(MATCH(CONCATENATE(G$2,$A7),'Výsledková listina'!$R:$R,0)),"",INDEX('Výsledková listina'!$B:$B,MATCH(CONCATENATE(G$2,$A7),'Výsledková listina'!$R:$R,0),1))</f>
        <v>Peřina Josef</v>
      </c>
      <c r="H7" s="4">
        <v>3650</v>
      </c>
      <c r="I7" s="38">
        <f t="shared" si="2"/>
        <v>1</v>
      </c>
      <c r="J7" s="72">
        <f t="shared" si="3"/>
        <v>1</v>
      </c>
      <c r="K7" s="56"/>
      <c r="L7" s="55" t="str">
        <f>IF(ISNA(MATCH(CONCATENATE(L$2,$A7),'Výsledková listina'!$R:$R,0)),"",INDEX('Výsledková listina'!$B:$B,MATCH(CONCATENATE(L$2,$A7),'Výsledková listina'!$R:$R,0),1))</f>
        <v>Kabourek Václav</v>
      </c>
      <c r="M7" s="4">
        <v>1550</v>
      </c>
      <c r="N7" s="38">
        <f t="shared" si="4"/>
        <v>3</v>
      </c>
      <c r="O7" s="72">
        <f t="shared" si="5"/>
        <v>3</v>
      </c>
      <c r="P7" s="56"/>
      <c r="Q7" s="55" t="str">
        <f>IF(ISNA(MATCH(CONCATENATE(Q$2,$A7),'Výsledková listina'!$R:$R,0)),"",INDEX('Výsledková listina'!$B:$B,MATCH(CONCATENATE(Q$2,$A7),'Výsledková listina'!$R:$R,0),1))</f>
        <v>Hrabal Vladimír</v>
      </c>
      <c r="R7" s="4">
        <v>2460</v>
      </c>
      <c r="S7" s="38">
        <f t="shared" si="6"/>
        <v>3</v>
      </c>
      <c r="T7" s="72">
        <f t="shared" si="7"/>
        <v>3</v>
      </c>
      <c r="U7" s="56"/>
      <c r="V7" s="55" t="str">
        <f>IF(ISNA(MATCH(CONCATENATE(V$2,$A7),'Výsledková listina'!$R:$R,0)),"",INDEX('Výsledková listina'!$B:$B,MATCH(CONCATENATE(V$2,$A7),'Výsledková listina'!$R:$R,0),1))</f>
        <v>Pavelka Viktor</v>
      </c>
      <c r="W7" s="4">
        <v>1000</v>
      </c>
      <c r="X7" s="38">
        <f t="shared" si="8"/>
        <v>7</v>
      </c>
      <c r="Y7" s="72">
        <f t="shared" si="9"/>
        <v>7</v>
      </c>
      <c r="Z7" s="56"/>
      <c r="AA7" s="55" t="str">
        <f>IF(ISNA(MATCH(CONCATENATE(AA$2,$A7),'Výsledková listina'!$R:$R,0)),"",INDEX('Výsledková listina'!$B:$B,MATCH(CONCATENATE(AA$2,$A7),'Výsledková listina'!$R:$R,0),1))</f>
        <v>Ouředníček Jiří</v>
      </c>
      <c r="AB7" s="4">
        <v>3760</v>
      </c>
      <c r="AC7" s="38">
        <f t="shared" si="10"/>
        <v>1</v>
      </c>
      <c r="AD7" s="72">
        <f t="shared" si="11"/>
        <v>1</v>
      </c>
      <c r="AE7" s="56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</row>
    <row r="8" spans="1:102" s="8" customFormat="1" ht="34.5" customHeight="1">
      <c r="A8" s="5">
        <v>5</v>
      </c>
      <c r="B8" s="55" t="str">
        <f>IF(ISNA(MATCH(CONCATENATE(B$2,$A8),'Výsledková listina'!$R:$R,0)),"",INDEX('Výsledková listina'!$B:$B,MATCH(CONCATENATE(B$2,$A8),'Výsledková listina'!$R:$R,0),1))</f>
        <v>Sičák Pavel</v>
      </c>
      <c r="C8" s="4">
        <v>1550</v>
      </c>
      <c r="D8" s="38">
        <f t="shared" si="0"/>
        <v>6</v>
      </c>
      <c r="E8" s="72">
        <f t="shared" si="1"/>
        <v>6</v>
      </c>
      <c r="F8" s="56"/>
      <c r="G8" s="140" t="str">
        <f>IF(ISNA(MATCH(CONCATENATE(G$2,$A8),'Výsledková listina'!$R:$R,0)),"",INDEX('Výsledková listina'!$B:$B,MATCH(CONCATENATE(G$2,$A8),'Výsledková listina'!$R:$R,0),1))</f>
        <v>Řehoř Michal</v>
      </c>
      <c r="H8" s="141">
        <v>650</v>
      </c>
      <c r="I8" s="142">
        <f t="shared" si="2"/>
        <v>10</v>
      </c>
      <c r="J8" s="143">
        <f t="shared" si="3"/>
        <v>10</v>
      </c>
      <c r="K8" s="144"/>
      <c r="L8" s="55" t="str">
        <f>IF(ISNA(MATCH(CONCATENATE(L$2,$A8),'Výsledková listina'!$R:$R,0)),"",INDEX('Výsledková listina'!$B:$B,MATCH(CONCATENATE(L$2,$A8),'Výsledková listina'!$R:$R,0),1))</f>
        <v>Sládek Petr</v>
      </c>
      <c r="M8" s="4">
        <v>3550</v>
      </c>
      <c r="N8" s="38">
        <f t="shared" si="4"/>
        <v>1</v>
      </c>
      <c r="O8" s="72">
        <f t="shared" si="5"/>
        <v>1</v>
      </c>
      <c r="P8" s="56"/>
      <c r="Q8" s="55" t="str">
        <f>IF(ISNA(MATCH(CONCATENATE(Q$2,$A8),'Výsledková listina'!$R:$R,0)),"",INDEX('Výsledková listina'!$B:$B,MATCH(CONCATENATE(Q$2,$A8),'Výsledková listina'!$R:$R,0),1))</f>
        <v>Funda Petr</v>
      </c>
      <c r="R8" s="4">
        <v>1420</v>
      </c>
      <c r="S8" s="38">
        <f t="shared" si="6"/>
        <v>6</v>
      </c>
      <c r="T8" s="72">
        <f t="shared" si="7"/>
        <v>6</v>
      </c>
      <c r="U8" s="56"/>
      <c r="V8" s="55" t="str">
        <f>IF(ISNA(MATCH(CONCATENATE(V$2,$A8),'Výsledková listina'!$R:$R,0)),"",INDEX('Výsledková listina'!$B:$B,MATCH(CONCATENATE(V$2,$A8),'Výsledková listina'!$R:$R,0),1))</f>
        <v>Popadinec Richard</v>
      </c>
      <c r="W8" s="4">
        <v>240</v>
      </c>
      <c r="X8" s="38">
        <f t="shared" si="8"/>
        <v>10</v>
      </c>
      <c r="Y8" s="72">
        <f t="shared" si="9"/>
        <v>10</v>
      </c>
      <c r="Z8" s="56"/>
      <c r="AA8" s="55" t="str">
        <f>IF(ISNA(MATCH(CONCATENATE(AA$2,$A8),'Výsledková listina'!$R:$R,0)),"",INDEX('Výsledková listina'!$B:$B,MATCH(CONCATENATE(AA$2,$A8),'Výsledková listina'!$R:$R,0),1))</f>
        <v>Kasl Luboš</v>
      </c>
      <c r="AB8" s="4">
        <v>2940</v>
      </c>
      <c r="AC8" s="38">
        <f t="shared" si="10"/>
        <v>2</v>
      </c>
      <c r="AD8" s="72">
        <f t="shared" si="11"/>
        <v>2</v>
      </c>
      <c r="AE8" s="56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</row>
    <row r="9" spans="1:102" s="8" customFormat="1" ht="34.5" customHeight="1">
      <c r="A9" s="5">
        <v>6</v>
      </c>
      <c r="B9" s="140" t="str">
        <f>IF(ISNA(MATCH(CONCATENATE(B$2,$A9),'Výsledková listina'!$R:$R,0)),"",INDEX('Výsledková listina'!$B:$B,MATCH(CONCATENATE(B$2,$A9),'Výsledková listina'!$R:$R,0),1))</f>
        <v>Hahn Petr</v>
      </c>
      <c r="C9" s="141">
        <v>3500</v>
      </c>
      <c r="D9" s="142">
        <f t="shared" si="0"/>
        <v>1</v>
      </c>
      <c r="E9" s="143">
        <f t="shared" si="1"/>
        <v>1</v>
      </c>
      <c r="F9" s="144"/>
      <c r="G9" s="55" t="str">
        <f>IF(ISNA(MATCH(CONCATENATE(G$2,$A9),'Výsledková listina'!$R:$R,0)),"",INDEX('Výsledková listina'!$B:$B,MATCH(CONCATENATE(G$2,$A9),'Výsledková listina'!$R:$R,0),1))</f>
        <v>Karásek Pavel</v>
      </c>
      <c r="H9" s="4">
        <v>1600</v>
      </c>
      <c r="I9" s="38">
        <f t="shared" si="2"/>
        <v>4</v>
      </c>
      <c r="J9" s="72">
        <f t="shared" si="3"/>
        <v>4</v>
      </c>
      <c r="K9" s="56"/>
      <c r="L9" s="140" t="str">
        <f>IF(ISNA(MATCH(CONCATENATE(L$2,$A9),'Výsledková listina'!$R:$R,0)),"",INDEX('Výsledková listina'!$B:$B,MATCH(CONCATENATE(L$2,$A9),'Výsledková listina'!$R:$R,0),1))</f>
        <v>Ouředníček Jan</v>
      </c>
      <c r="M9" s="141">
        <v>1200</v>
      </c>
      <c r="N9" s="142">
        <f t="shared" si="4"/>
        <v>5</v>
      </c>
      <c r="O9" s="143">
        <f t="shared" si="5"/>
        <v>5</v>
      </c>
      <c r="P9" s="144"/>
      <c r="Q9" s="55" t="str">
        <f>IF(ISNA(MATCH(CONCATENATE(Q$2,$A9),'Výsledková listina'!$R:$R,0)),"",INDEX('Výsledková listina'!$B:$B,MATCH(CONCATENATE(Q$2,$A9),'Výsledková listina'!$R:$R,0),1))</f>
        <v>Sofron Pavel</v>
      </c>
      <c r="R9" s="4">
        <v>1040</v>
      </c>
      <c r="S9" s="38">
        <f t="shared" si="6"/>
        <v>7</v>
      </c>
      <c r="T9" s="72">
        <f t="shared" si="7"/>
        <v>7</v>
      </c>
      <c r="U9" s="56"/>
      <c r="V9" s="55" t="str">
        <f>IF(ISNA(MATCH(CONCATENATE(V$2,$A9),'Výsledková listina'!$R:$R,0)),"",INDEX('Výsledková listina'!$B:$B,MATCH(CONCATENATE(V$2,$A9),'Výsledková listina'!$R:$R,0),1))</f>
        <v>Janečka Martin</v>
      </c>
      <c r="W9" s="4">
        <v>2340</v>
      </c>
      <c r="X9" s="38">
        <f t="shared" si="8"/>
        <v>5</v>
      </c>
      <c r="Y9" s="72">
        <f t="shared" si="9"/>
        <v>5</v>
      </c>
      <c r="Z9" s="56"/>
      <c r="AA9" s="55" t="str">
        <f>IF(ISNA(MATCH(CONCATENATE(AA$2,$A9),'Výsledková listina'!$R:$R,0)),"",INDEX('Výsledková listina'!$B:$B,MATCH(CONCATENATE(AA$2,$A9),'Výsledková listina'!$R:$R,0),1))</f>
        <v>Kocián Oldřich</v>
      </c>
      <c r="AB9" s="4">
        <v>220</v>
      </c>
      <c r="AC9" s="38">
        <f t="shared" si="10"/>
        <v>9</v>
      </c>
      <c r="AD9" s="72">
        <f t="shared" si="11"/>
        <v>9.5</v>
      </c>
      <c r="AE9" s="56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</row>
    <row r="10" spans="1:102" s="8" customFormat="1" ht="34.5" customHeight="1">
      <c r="A10" s="5">
        <v>7</v>
      </c>
      <c r="B10" s="55" t="str">
        <f>IF(ISNA(MATCH(CONCATENATE(B$2,$A10),'Výsledková listina'!$R:$R,0)),"",INDEX('Výsledková listina'!$B:$B,MATCH(CONCATENATE(B$2,$A10),'Výsledková listina'!$R:$R,0),1))</f>
        <v>Dohnal Josef</v>
      </c>
      <c r="C10" s="4">
        <v>2500</v>
      </c>
      <c r="D10" s="38">
        <f t="shared" si="0"/>
        <v>2</v>
      </c>
      <c r="E10" s="72">
        <f t="shared" si="1"/>
        <v>2.5</v>
      </c>
      <c r="F10" s="56"/>
      <c r="G10" s="140" t="str">
        <f>IF(ISNA(MATCH(CONCATENATE(G$2,$A10),'Výsledková listina'!$R:$R,0)),"",INDEX('Výsledková listina'!$B:$B,MATCH(CONCATENATE(G$2,$A10),'Výsledková listina'!$R:$R,0),1))</f>
        <v>Soukup Michal</v>
      </c>
      <c r="H10" s="141">
        <v>1500</v>
      </c>
      <c r="I10" s="142">
        <f t="shared" si="2"/>
        <v>5</v>
      </c>
      <c r="J10" s="143">
        <f t="shared" si="3"/>
        <v>5</v>
      </c>
      <c r="K10" s="144"/>
      <c r="L10" s="55" t="str">
        <f>IF(ISNA(MATCH(CONCATENATE(L$2,$A10),'Výsledková listina'!$R:$R,0)),"",INDEX('Výsledková listina'!$B:$B,MATCH(CONCATENATE(L$2,$A10),'Výsledková listina'!$R:$R,0),1))</f>
        <v>Bromovský Petr</v>
      </c>
      <c r="M10" s="4">
        <v>900</v>
      </c>
      <c r="N10" s="38">
        <f t="shared" si="4"/>
        <v>6</v>
      </c>
      <c r="O10" s="72">
        <f t="shared" si="5"/>
        <v>6.5</v>
      </c>
      <c r="P10" s="56"/>
      <c r="Q10" s="55" t="str">
        <f>IF(ISNA(MATCH(CONCATENATE(Q$2,$A10),'Výsledková listina'!$R:$R,0)),"",INDEX('Výsledková listina'!$B:$B,MATCH(CONCATENATE(Q$2,$A10),'Výsledková listina'!$R:$R,0),1))</f>
        <v>Vávra Jiří</v>
      </c>
      <c r="R10" s="4">
        <v>2620</v>
      </c>
      <c r="S10" s="38">
        <f t="shared" si="6"/>
        <v>2</v>
      </c>
      <c r="T10" s="72">
        <f t="shared" si="7"/>
        <v>2</v>
      </c>
      <c r="U10" s="56"/>
      <c r="V10" s="55" t="str">
        <f>IF(ISNA(MATCH(CONCATENATE(V$2,$A10),'Výsledková listina'!$R:$R,0)),"",INDEX('Výsledková listina'!$B:$B,MATCH(CONCATENATE(V$2,$A10),'Výsledková listina'!$R:$R,0),1))</f>
        <v>Tóth Petr</v>
      </c>
      <c r="W10" s="4">
        <v>2820</v>
      </c>
      <c r="X10" s="38">
        <f t="shared" si="8"/>
        <v>3</v>
      </c>
      <c r="Y10" s="72">
        <f t="shared" si="9"/>
        <v>3</v>
      </c>
      <c r="Z10" s="56"/>
      <c r="AA10" s="55" t="str">
        <f>IF(ISNA(MATCH(CONCATENATE(AA$2,$A10),'Výsledková listina'!$R:$R,0)),"",INDEX('Výsledková listina'!$B:$B,MATCH(CONCATENATE(AA$2,$A10),'Výsledková listina'!$R:$R,0),1))</f>
        <v>Štěpnička Milan</v>
      </c>
      <c r="AB10" s="4">
        <v>780</v>
      </c>
      <c r="AC10" s="38">
        <f t="shared" si="10"/>
        <v>7</v>
      </c>
      <c r="AD10" s="72">
        <f t="shared" si="11"/>
        <v>7</v>
      </c>
      <c r="AE10" s="56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</row>
    <row r="11" spans="1:102" s="8" customFormat="1" ht="34.5" customHeight="1">
      <c r="A11" s="5">
        <v>8</v>
      </c>
      <c r="B11" s="55" t="str">
        <f>IF(ISNA(MATCH(CONCATENATE(B$2,$A11),'Výsledková listina'!$R:$R,0)),"",INDEX('Výsledková listina'!$B:$B,MATCH(CONCATENATE(B$2,$A11),'Výsledková listina'!$R:$R,0),1))</f>
        <v>Stejskal Miroslav</v>
      </c>
      <c r="C11" s="4">
        <v>1600</v>
      </c>
      <c r="D11" s="38">
        <f t="shared" si="0"/>
        <v>5</v>
      </c>
      <c r="E11" s="72">
        <f t="shared" si="1"/>
        <v>5</v>
      </c>
      <c r="F11" s="56"/>
      <c r="G11" s="55" t="str">
        <f>IF(ISNA(MATCH(CONCATENATE(G$2,$A11),'Výsledková listina'!$R:$R,0)),"",INDEX('Výsledková listina'!$B:$B,MATCH(CONCATENATE(G$2,$A11),'Výsledková listina'!$R:$R,0),1))</f>
        <v>Konopásek Jaroslav </v>
      </c>
      <c r="H11" s="4">
        <v>2050</v>
      </c>
      <c r="I11" s="38">
        <f t="shared" si="2"/>
        <v>2</v>
      </c>
      <c r="J11" s="72">
        <f t="shared" si="3"/>
        <v>2</v>
      </c>
      <c r="K11" s="56"/>
      <c r="L11" s="55" t="str">
        <f>IF(ISNA(MATCH(CONCATENATE(L$2,$A11),'Výsledková listina'!$R:$R,0)),"",INDEX('Výsledková listina'!$B:$B,MATCH(CONCATENATE(L$2,$A11),'Výsledková listina'!$R:$R,0),1))</f>
        <v>Panocha Josef</v>
      </c>
      <c r="M11" s="4">
        <v>800</v>
      </c>
      <c r="N11" s="38">
        <f t="shared" si="4"/>
        <v>8</v>
      </c>
      <c r="O11" s="72">
        <f t="shared" si="5"/>
        <v>8</v>
      </c>
      <c r="P11" s="56"/>
      <c r="Q11" s="140" t="str">
        <f>IF(ISNA(MATCH(CONCATENATE(Q$2,$A11),'Výsledková listina'!$R:$R,0)),"",INDEX('Výsledková listina'!$B:$B,MATCH(CONCATENATE(Q$2,$A11),'Výsledková listina'!$R:$R,0),1))</f>
        <v>Kodýdek Jiří</v>
      </c>
      <c r="R11" s="141">
        <v>680</v>
      </c>
      <c r="S11" s="142">
        <f t="shared" si="6"/>
        <v>8</v>
      </c>
      <c r="T11" s="143">
        <f t="shared" si="7"/>
        <v>8</v>
      </c>
      <c r="U11" s="144"/>
      <c r="V11" s="55" t="str">
        <f>IF(ISNA(MATCH(CONCATENATE(V$2,$A11),'Výsledková listina'!$R:$R,0)),"",INDEX('Výsledková listina'!$B:$B,MATCH(CONCATENATE(V$2,$A11),'Výsledková listina'!$R:$R,0),1))</f>
        <v>Hanousek Václav</v>
      </c>
      <c r="W11" s="4">
        <v>2700</v>
      </c>
      <c r="X11" s="38">
        <f t="shared" si="8"/>
        <v>4</v>
      </c>
      <c r="Y11" s="72">
        <f t="shared" si="9"/>
        <v>4</v>
      </c>
      <c r="Z11" s="56"/>
      <c r="AA11" s="55" t="str">
        <f>IF(ISNA(MATCH(CONCATENATE(AA$2,$A11),'Výsledková listina'!$R:$R,0)),"",INDEX('Výsledková listina'!$B:$B,MATCH(CONCATENATE(AA$2,$A11),'Výsledková listina'!$R:$R,0),1))</f>
        <v>Smutný Jiří</v>
      </c>
      <c r="AB11" s="4">
        <v>2640</v>
      </c>
      <c r="AC11" s="38">
        <f t="shared" si="10"/>
        <v>3</v>
      </c>
      <c r="AD11" s="72">
        <f t="shared" si="11"/>
        <v>3</v>
      </c>
      <c r="AE11" s="56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</row>
    <row r="12" spans="1:102" s="8" customFormat="1" ht="34.5" customHeight="1">
      <c r="A12" s="5">
        <v>9</v>
      </c>
      <c r="B12" s="140" t="str">
        <f>IF(ISNA(MATCH(CONCATENATE(B$2,$A12),'Výsledková listina'!$R:$R,0)),"",INDEX('Výsledková listina'!$B:$B,MATCH(CONCATENATE(B$2,$A12),'Výsledková listina'!$R:$R,0),1))</f>
        <v>Šurgota Juraj</v>
      </c>
      <c r="C12" s="141">
        <v>2500</v>
      </c>
      <c r="D12" s="142">
        <f t="shared" si="0"/>
        <v>2</v>
      </c>
      <c r="E12" s="143">
        <f t="shared" si="1"/>
        <v>2.5</v>
      </c>
      <c r="F12" s="144"/>
      <c r="G12" s="55" t="str">
        <f>IF(ISNA(MATCH(CONCATENATE(G$2,$A12),'Výsledková listina'!$R:$R,0)),"",INDEX('Výsledková listina'!$B:$B,MATCH(CONCATENATE(G$2,$A12),'Výsledková listina'!$R:$R,0),1))</f>
        <v>Dorotík Tomáš</v>
      </c>
      <c r="H12" s="4">
        <v>850</v>
      </c>
      <c r="I12" s="38">
        <f t="shared" si="2"/>
        <v>8</v>
      </c>
      <c r="J12" s="72">
        <f t="shared" si="3"/>
        <v>8</v>
      </c>
      <c r="K12" s="56"/>
      <c r="L12" s="55" t="str">
        <f>IF(ISNA(MATCH(CONCATENATE(L$2,$A12),'Výsledková listina'!$R:$R,0)),"",INDEX('Výsledková listina'!$B:$B,MATCH(CONCATENATE(L$2,$A12),'Výsledková listina'!$R:$R,0),1))</f>
        <v>Goda Jan</v>
      </c>
      <c r="M12" s="4">
        <v>900</v>
      </c>
      <c r="N12" s="38">
        <f t="shared" si="4"/>
        <v>6</v>
      </c>
      <c r="O12" s="72">
        <f t="shared" si="5"/>
        <v>6.5</v>
      </c>
      <c r="P12" s="56"/>
      <c r="Q12" s="55" t="str">
        <f>IF(ISNA(MATCH(CONCATENATE(Q$2,$A12),'Výsledková listina'!$R:$R,0)),"",INDEX('Výsledková listina'!$B:$B,MATCH(CONCATENATE(Q$2,$A12),'Výsledková listina'!$R:$R,0),1))</f>
        <v>Vitásek Jiří</v>
      </c>
      <c r="R12" s="4">
        <v>2800</v>
      </c>
      <c r="S12" s="38">
        <f t="shared" si="6"/>
        <v>1</v>
      </c>
      <c r="T12" s="72">
        <f t="shared" si="7"/>
        <v>1</v>
      </c>
      <c r="U12" s="56"/>
      <c r="V12" s="55" t="str">
        <f>IF(ISNA(MATCH(CONCATENATE(V$2,$A12),'Výsledková listina'!$R:$R,0)),"",INDEX('Výsledková listina'!$B:$B,MATCH(CONCATENATE(V$2,$A12),'Výsledková listina'!$R:$R,0),1))</f>
        <v>Reiser Petr</v>
      </c>
      <c r="W12" s="4">
        <v>840</v>
      </c>
      <c r="X12" s="38">
        <f t="shared" si="8"/>
        <v>9</v>
      </c>
      <c r="Y12" s="72">
        <f t="shared" si="9"/>
        <v>9</v>
      </c>
      <c r="Z12" s="56"/>
      <c r="AA12" s="55" t="str">
        <f>IF(ISNA(MATCH(CONCATENATE(AA$2,$A12),'Výsledková listina'!$R:$R,0)),"",INDEX('Výsledková listina'!$B:$B,MATCH(CONCATENATE(AA$2,$A12),'Výsledková listina'!$R:$R,0),1))</f>
        <v>Vodička Miloslav</v>
      </c>
      <c r="AB12" s="4">
        <v>760</v>
      </c>
      <c r="AC12" s="38">
        <f t="shared" si="10"/>
        <v>8</v>
      </c>
      <c r="AD12" s="72">
        <f t="shared" si="11"/>
        <v>8</v>
      </c>
      <c r="AE12" s="56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8" customFormat="1" ht="34.5" customHeight="1">
      <c r="A13" s="5">
        <v>10</v>
      </c>
      <c r="B13" s="55" t="str">
        <f>IF(ISNA(MATCH(CONCATENATE(B$2,$A13),'Výsledková listina'!$R:$R,0)),"",INDEX('Výsledková listina'!$B:$B,MATCH(CONCATENATE(B$2,$A13),'Výsledková listina'!$R:$R,0),1))</f>
        <v>Malypetr Zdeněk</v>
      </c>
      <c r="C13" s="4">
        <v>1450</v>
      </c>
      <c r="D13" s="38">
        <f t="shared" si="0"/>
        <v>7</v>
      </c>
      <c r="E13" s="72">
        <f t="shared" si="1"/>
        <v>7</v>
      </c>
      <c r="F13" s="56"/>
      <c r="G13" s="55" t="str">
        <f>IF(ISNA(MATCH(CONCATENATE(G$2,$A13),'Výsledková listina'!$R:$R,0)),"",INDEX('Výsledková listina'!$B:$B,MATCH(CONCATENATE(G$2,$A13),'Výsledková listina'!$R:$R,0),1))</f>
        <v>Baranka Vladimír</v>
      </c>
      <c r="H13" s="4">
        <v>1800</v>
      </c>
      <c r="I13" s="38">
        <f t="shared" si="2"/>
        <v>3</v>
      </c>
      <c r="J13" s="72">
        <f t="shared" si="3"/>
        <v>3</v>
      </c>
      <c r="K13" s="56"/>
      <c r="L13" s="140" t="str">
        <f>IF(ISNA(MATCH(CONCATENATE(L$2,$A13),'Výsledková listina'!$R:$R,0)),"",INDEX('Výsledková listina'!$B:$B,MATCH(CONCATENATE(L$2,$A13),'Výsledková listina'!$R:$R,0),1))</f>
        <v>Douša Jan</v>
      </c>
      <c r="M13" s="141">
        <v>250</v>
      </c>
      <c r="N13" s="142">
        <f t="shared" si="4"/>
        <v>9</v>
      </c>
      <c r="O13" s="143">
        <f t="shared" si="5"/>
        <v>9</v>
      </c>
      <c r="P13" s="144"/>
      <c r="Q13" s="55" t="str">
        <f>IF(ISNA(MATCH(CONCATENATE(Q$2,$A13),'Výsledková listina'!$R:$R,0)),"",INDEX('Výsledková listina'!$B:$B,MATCH(CONCATENATE(Q$2,$A13),'Výsledková listina'!$R:$R,0),1))</f>
        <v>Vitebský Jakub </v>
      </c>
      <c r="R13" s="4">
        <v>520</v>
      </c>
      <c r="S13" s="38">
        <f t="shared" si="6"/>
        <v>10</v>
      </c>
      <c r="T13" s="72">
        <f t="shared" si="7"/>
        <v>10</v>
      </c>
      <c r="U13" s="56"/>
      <c r="V13" s="55" t="str">
        <f>IF(ISNA(MATCH(CONCATENATE(V$2,$A13),'Výsledková listina'!$R:$R,0)),"",INDEX('Výsledková listina'!$B:$B,MATCH(CONCATENATE(V$2,$A13),'Výsledková listina'!$R:$R,0),1))</f>
        <v>Srb Roman</v>
      </c>
      <c r="W13" s="4">
        <v>3060</v>
      </c>
      <c r="X13" s="38">
        <f t="shared" si="8"/>
        <v>2</v>
      </c>
      <c r="Y13" s="72">
        <f t="shared" si="9"/>
        <v>2</v>
      </c>
      <c r="Z13" s="56"/>
      <c r="AA13" s="55" t="str">
        <f>IF(ISNA(MATCH(CONCATENATE(AA$2,$A13),'Výsledková listina'!$R:$R,0)),"",INDEX('Výsledková listina'!$B:$B,MATCH(CONCATENATE(AA$2,$A13),'Výsledková listina'!$R:$R,0),1))</f>
        <v>Dušánek Bohuslav</v>
      </c>
      <c r="AB13" s="4">
        <v>1340</v>
      </c>
      <c r="AC13" s="38">
        <f t="shared" si="10"/>
        <v>6</v>
      </c>
      <c r="AD13" s="72">
        <f t="shared" si="11"/>
        <v>6</v>
      </c>
      <c r="AE13" s="56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</row>
  </sheetData>
  <sheetProtection/>
  <mergeCells count="13">
    <mergeCell ref="A1:A3"/>
    <mergeCell ref="B1:F1"/>
    <mergeCell ref="G1:K1"/>
    <mergeCell ref="B2:F2"/>
    <mergeCell ref="G2:K2"/>
    <mergeCell ref="L1:P1"/>
    <mergeCell ref="Q1:U1"/>
    <mergeCell ref="L2:P2"/>
    <mergeCell ref="Q2:U2"/>
    <mergeCell ref="V1:Z1"/>
    <mergeCell ref="AA1:AE1"/>
    <mergeCell ref="V2:Z2"/>
    <mergeCell ref="AA2:AE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5" manualBreakCount="5">
    <brk id="6" max="65535" man="1"/>
    <brk id="11" max="65535" man="1"/>
    <brk id="16" max="65535" man="1"/>
    <brk id="21" max="65535" man="1"/>
    <brk id="2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view="pageBreakPreview" zoomScaleNormal="75" zoomScaleSheetLayoutView="100" zoomScalePageLayoutView="0" workbookViewId="0" topLeftCell="A42">
      <selection activeCell="K63" sqref="K63"/>
    </sheetView>
  </sheetViews>
  <sheetFormatPr defaultColWidth="9.00390625" defaultRowHeight="12.75"/>
  <cols>
    <col min="1" max="1" width="3.00390625" style="42" bestFit="1" customWidth="1"/>
    <col min="2" max="2" width="6.125" style="42" bestFit="1" customWidth="1"/>
    <col min="3" max="3" width="5.75390625" style="42" customWidth="1"/>
    <col min="4" max="4" width="7.375" style="42" customWidth="1"/>
    <col min="5" max="5" width="5.25390625" style="42" customWidth="1"/>
    <col min="6" max="6" width="18.25390625" style="92" customWidth="1"/>
    <col min="7" max="7" width="6.125" style="42" bestFit="1" customWidth="1"/>
    <col min="8" max="8" width="5.625" style="42" bestFit="1" customWidth="1"/>
    <col min="9" max="10" width="5.75390625" style="42" customWidth="1"/>
    <col min="11" max="11" width="20.00390625" style="92" customWidth="1"/>
    <col min="12" max="145" width="3.875" style="42" customWidth="1"/>
    <col min="146" max="16384" width="9.125" style="42" customWidth="1"/>
  </cols>
  <sheetData>
    <row r="1" spans="1:11" s="93" customFormat="1" ht="18" customHeight="1">
      <c r="A1" s="214" t="s">
        <v>81</v>
      </c>
      <c r="B1" s="215" t="s">
        <v>82</v>
      </c>
      <c r="C1" s="215"/>
      <c r="D1" s="215"/>
      <c r="E1" s="215"/>
      <c r="F1" s="215"/>
      <c r="G1" s="215" t="s">
        <v>83</v>
      </c>
      <c r="H1" s="215"/>
      <c r="I1" s="215"/>
      <c r="J1" s="215"/>
      <c r="K1" s="215"/>
    </row>
    <row r="2" spans="1:11" s="93" customFormat="1" ht="18" customHeight="1">
      <c r="A2" s="214"/>
      <c r="B2" s="94" t="s">
        <v>44</v>
      </c>
      <c r="C2" s="94" t="s">
        <v>45</v>
      </c>
      <c r="D2" s="94" t="s">
        <v>4</v>
      </c>
      <c r="E2" s="94" t="s">
        <v>84</v>
      </c>
      <c r="F2" s="94" t="s">
        <v>85</v>
      </c>
      <c r="G2" s="94" t="s">
        <v>44</v>
      </c>
      <c r="H2" s="94" t="s">
        <v>45</v>
      </c>
      <c r="I2" s="94" t="s">
        <v>4</v>
      </c>
      <c r="J2" s="94" t="s">
        <v>84</v>
      </c>
      <c r="K2" s="94" t="s">
        <v>85</v>
      </c>
    </row>
    <row r="3" spans="1:11" ht="18" customHeight="1">
      <c r="A3" s="90">
        <v>1</v>
      </c>
      <c r="B3" s="94" t="s">
        <v>19</v>
      </c>
      <c r="C3" s="94">
        <v>1</v>
      </c>
      <c r="D3" s="89">
        <f>INDEX('1. závod'!$A:$AE,$C3+3,INDEX('Základní list'!$B:$B,MATCH($B3,'Základní list'!$A:$A,0),1))</f>
        <v>1350</v>
      </c>
      <c r="E3" s="89">
        <f>INDEX('1. závod'!$A:$AE,$C3+3,INDEX('Základní list'!$B:$B,MATCH($B3,'Základní list'!$A:$A,0),1)+2)</f>
        <v>7</v>
      </c>
      <c r="F3" s="91" t="str">
        <f>INDEX('1. závod'!$A:$AE,$C3+3,INDEX('Základní list'!$B:$B,MATCH($B3,'Základní list'!$A:$A,0),1)-1)</f>
        <v>Kříž Petr</v>
      </c>
      <c r="G3" s="94" t="s">
        <v>19</v>
      </c>
      <c r="H3" s="94">
        <v>1</v>
      </c>
      <c r="I3" s="89">
        <f>INDEX('2. závod'!$A:$AE,$H3+3,INDEX('Základní list'!$B:$B,MATCH($G3,'Základní list'!$A:$A,0),1))</f>
        <v>950</v>
      </c>
      <c r="J3" s="89">
        <f>INDEX('2. závod'!$A:$AE,$H3+3,INDEX('Základní list'!$B:$B,MATCH($G3,'Základní list'!$A:$A,0),1)+2)</f>
        <v>8</v>
      </c>
      <c r="K3" s="91" t="str">
        <f>INDEX('2. závod'!$A:$AE,$H3+3,INDEX('Základní list'!$B:$B,MATCH($G3,'Základní list'!$A:$A,0),1)-1)</f>
        <v>Staněk Karel</v>
      </c>
    </row>
    <row r="4" spans="1:11" ht="18" customHeight="1">
      <c r="A4" s="90">
        <v>2</v>
      </c>
      <c r="B4" s="94" t="s">
        <v>19</v>
      </c>
      <c r="C4" s="94">
        <v>2</v>
      </c>
      <c r="D4" s="89">
        <f>INDEX('1. závod'!$A:$AE,$C4+3,INDEX('Základní list'!$B:$B,MATCH($B4,'Základní list'!$A:$A,0),1))</f>
        <v>500</v>
      </c>
      <c r="E4" s="89">
        <f>INDEX('1. závod'!$A:$AE,$C4+3,INDEX('Základní list'!$B:$B,MATCH($B4,'Základní list'!$A:$A,0),1)+2)</f>
        <v>10</v>
      </c>
      <c r="F4" s="91" t="str">
        <f>INDEX('1. závod'!$A:$AE,$C4+3,INDEX('Základní list'!$B:$B,MATCH($B4,'Základní list'!$A:$A,0),1)-1)</f>
        <v>Kocián Oldřich</v>
      </c>
      <c r="G4" s="94" t="s">
        <v>19</v>
      </c>
      <c r="H4" s="94">
        <v>2</v>
      </c>
      <c r="I4" s="89">
        <f>INDEX('2. závod'!$A:$AE,$H4+3,INDEX('Základní list'!$B:$B,MATCH($G4,'Základní list'!$A:$A,0),1))</f>
        <v>200</v>
      </c>
      <c r="J4" s="89">
        <f>INDEX('2. závod'!$A:$AE,$H4+3,INDEX('Základní list'!$B:$B,MATCH($G4,'Základní list'!$A:$A,0),1)+2)</f>
        <v>10</v>
      </c>
      <c r="K4" s="91" t="str">
        <f>INDEX('2. závod'!$A:$AE,$H4+3,INDEX('Základní list'!$B:$B,MATCH($G4,'Základní list'!$A:$A,0),1)-1)</f>
        <v>Stříbrský Viktor</v>
      </c>
    </row>
    <row r="5" spans="1:11" ht="18" customHeight="1">
      <c r="A5" s="90">
        <v>3</v>
      </c>
      <c r="B5" s="94" t="s">
        <v>19</v>
      </c>
      <c r="C5" s="94">
        <v>3</v>
      </c>
      <c r="D5" s="89">
        <f>INDEX('1. závod'!$A:$AE,$C5+3,INDEX('Základní list'!$B:$B,MATCH($B5,'Základní list'!$A:$A,0),1))</f>
        <v>650</v>
      </c>
      <c r="E5" s="89">
        <f>INDEX('1. závod'!$A:$AE,$C5+3,INDEX('Základní list'!$B:$B,MATCH($B5,'Základní list'!$A:$A,0),1)+2)</f>
        <v>9</v>
      </c>
      <c r="F5" s="91" t="str">
        <f>INDEX('1. závod'!$A:$AE,$C5+3,INDEX('Základní list'!$B:$B,MATCH($B5,'Základní list'!$A:$A,0),1)-1)</f>
        <v>Reiser Petr</v>
      </c>
      <c r="G5" s="94" t="s">
        <v>19</v>
      </c>
      <c r="H5" s="94">
        <v>3</v>
      </c>
      <c r="I5" s="89">
        <f>INDEX('2. závod'!$A:$AE,$H5+3,INDEX('Základní list'!$B:$B,MATCH($G5,'Základní list'!$A:$A,0),1))</f>
        <v>2450</v>
      </c>
      <c r="J5" s="89">
        <f>INDEX('2. závod'!$A:$AE,$H5+3,INDEX('Základní list'!$B:$B,MATCH($G5,'Základní list'!$A:$A,0),1)+2)</f>
        <v>4</v>
      </c>
      <c r="K5" s="91" t="str">
        <f>INDEX('2. závod'!$A:$AE,$H5+3,INDEX('Základní list'!$B:$B,MATCH($G5,'Základní list'!$A:$A,0),1)-1)</f>
        <v>Bořuta Pavel</v>
      </c>
    </row>
    <row r="6" spans="1:11" ht="18" customHeight="1">
      <c r="A6" s="90">
        <v>4</v>
      </c>
      <c r="B6" s="94" t="s">
        <v>19</v>
      </c>
      <c r="C6" s="94">
        <v>4</v>
      </c>
      <c r="D6" s="89">
        <f>INDEX('1. závod'!$A:$AE,$C6+3,INDEX('Základní list'!$B:$B,MATCH($B6,'Základní list'!$A:$A,0),1))</f>
        <v>2050</v>
      </c>
      <c r="E6" s="89">
        <f>INDEX('1. závod'!$A:$AE,$C6+3,INDEX('Základní list'!$B:$B,MATCH($B6,'Základní list'!$A:$A,0),1)+2)</f>
        <v>5</v>
      </c>
      <c r="F6" s="91" t="str">
        <f>INDEX('1. závod'!$A:$AE,$C6+3,INDEX('Základní list'!$B:$B,MATCH($B6,'Základní list'!$A:$A,0),1)-1)</f>
        <v>Tůma David</v>
      </c>
      <c r="G6" s="94" t="s">
        <v>19</v>
      </c>
      <c r="H6" s="94">
        <v>4</v>
      </c>
      <c r="I6" s="89">
        <f>INDEX('2. závod'!$A:$AE,$H6+3,INDEX('Základní list'!$B:$B,MATCH($G6,'Základní list'!$A:$A,0),1))</f>
        <v>400</v>
      </c>
      <c r="J6" s="89">
        <f>INDEX('2. závod'!$A:$AE,$H6+3,INDEX('Základní list'!$B:$B,MATCH($G6,'Základní list'!$A:$A,0),1)+2)</f>
        <v>9</v>
      </c>
      <c r="K6" s="91" t="str">
        <f>INDEX('2. závod'!$A:$AE,$H6+3,INDEX('Základní list'!$B:$B,MATCH($G6,'Základní list'!$A:$A,0),1)-1)</f>
        <v>Koubek František</v>
      </c>
    </row>
    <row r="7" spans="1:11" ht="18" customHeight="1">
      <c r="A7" s="90">
        <v>5</v>
      </c>
      <c r="B7" s="94" t="s">
        <v>19</v>
      </c>
      <c r="C7" s="94">
        <v>5</v>
      </c>
      <c r="D7" s="89">
        <f>INDEX('1. závod'!$A:$AE,$C7+3,INDEX('Základní list'!$B:$B,MATCH($B7,'Základní list'!$A:$A,0),1))</f>
        <v>6050</v>
      </c>
      <c r="E7" s="89">
        <f>INDEX('1. závod'!$A:$AE,$C7+3,INDEX('Základní list'!$B:$B,MATCH($B7,'Základní list'!$A:$A,0),1)+2)</f>
        <v>1</v>
      </c>
      <c r="F7" s="91" t="str">
        <f>INDEX('1. závod'!$A:$AE,$C7+3,INDEX('Základní list'!$B:$B,MATCH($B7,'Základní list'!$A:$A,0),1)-1)</f>
        <v>Funda Petr</v>
      </c>
      <c r="G7" s="94" t="s">
        <v>19</v>
      </c>
      <c r="H7" s="94">
        <v>5</v>
      </c>
      <c r="I7" s="89">
        <f>INDEX('2. závod'!$A:$AE,$H7+3,INDEX('Základní list'!$B:$B,MATCH($G7,'Základní list'!$A:$A,0),1))</f>
        <v>1550</v>
      </c>
      <c r="J7" s="89">
        <f>INDEX('2. závod'!$A:$AE,$H7+3,INDEX('Základní list'!$B:$B,MATCH($G7,'Základní list'!$A:$A,0),1)+2)</f>
        <v>6</v>
      </c>
      <c r="K7" s="91" t="str">
        <f>INDEX('2. závod'!$A:$AE,$H7+3,INDEX('Základní list'!$B:$B,MATCH($G7,'Základní list'!$A:$A,0),1)-1)</f>
        <v>Sičák Pavel</v>
      </c>
    </row>
    <row r="8" spans="1:11" ht="18" customHeight="1">
      <c r="A8" s="90">
        <v>6</v>
      </c>
      <c r="B8" s="94" t="s">
        <v>19</v>
      </c>
      <c r="C8" s="94">
        <v>6</v>
      </c>
      <c r="D8" s="89">
        <f>INDEX('1. závod'!$A:$AE,$C8+3,INDEX('Základní list'!$B:$B,MATCH($B8,'Základní list'!$A:$A,0),1))</f>
        <v>4100</v>
      </c>
      <c r="E8" s="89">
        <f>INDEX('1. závod'!$A:$AE,$C8+3,INDEX('Základní list'!$B:$B,MATCH($B8,'Základní list'!$A:$A,0),1)+2)</f>
        <v>4</v>
      </c>
      <c r="F8" s="91" t="str">
        <f>INDEX('1. závod'!$A:$AE,$C8+3,INDEX('Základní list'!$B:$B,MATCH($B8,'Základní list'!$A:$A,0),1)-1)</f>
        <v>Janečka Martin</v>
      </c>
      <c r="G8" s="94" t="s">
        <v>19</v>
      </c>
      <c r="H8" s="94">
        <v>6</v>
      </c>
      <c r="I8" s="89">
        <f>INDEX('2. závod'!$A:$AE,$H8+3,INDEX('Základní list'!$B:$B,MATCH($G8,'Základní list'!$A:$A,0),1))</f>
        <v>3500</v>
      </c>
      <c r="J8" s="89">
        <f>INDEX('2. závod'!$A:$AE,$H8+3,INDEX('Základní list'!$B:$B,MATCH($G8,'Základní list'!$A:$A,0),1)+2)</f>
        <v>1</v>
      </c>
      <c r="K8" s="91" t="str">
        <f>INDEX('2. závod'!$A:$AE,$H8+3,INDEX('Základní list'!$B:$B,MATCH($G8,'Základní list'!$A:$A,0),1)-1)</f>
        <v>Hahn Petr</v>
      </c>
    </row>
    <row r="9" spans="1:11" ht="18" customHeight="1">
      <c r="A9" s="90">
        <v>7</v>
      </c>
      <c r="B9" s="94" t="s">
        <v>19</v>
      </c>
      <c r="C9" s="94">
        <v>7</v>
      </c>
      <c r="D9" s="89">
        <f>INDEX('1. závod'!$A:$AE,$C9+3,INDEX('Základní list'!$B:$B,MATCH($B9,'Základní list'!$A:$A,0),1))</f>
        <v>5850</v>
      </c>
      <c r="E9" s="89">
        <f>INDEX('1. závod'!$A:$AE,$C9+3,INDEX('Základní list'!$B:$B,MATCH($B9,'Základní list'!$A:$A,0),1)+2)</f>
        <v>2</v>
      </c>
      <c r="F9" s="91" t="str">
        <f>INDEX('1. závod'!$A:$AE,$C9+3,INDEX('Základní list'!$B:$B,MATCH($B9,'Základní list'!$A:$A,0),1)-1)</f>
        <v>Vitásek Jiří</v>
      </c>
      <c r="G9" s="94" t="s">
        <v>19</v>
      </c>
      <c r="H9" s="94">
        <v>7</v>
      </c>
      <c r="I9" s="89">
        <f>INDEX('2. závod'!$A:$AE,$H9+3,INDEX('Základní list'!$B:$B,MATCH($G9,'Základní list'!$A:$A,0),1))</f>
        <v>2500</v>
      </c>
      <c r="J9" s="89">
        <f>INDEX('2. závod'!$A:$AE,$H9+3,INDEX('Základní list'!$B:$B,MATCH($G9,'Základní list'!$A:$A,0),1)+2)</f>
        <v>2.5</v>
      </c>
      <c r="K9" s="91" t="str">
        <f>INDEX('2. závod'!$A:$AE,$H9+3,INDEX('Základní list'!$B:$B,MATCH($G9,'Základní list'!$A:$A,0),1)-1)</f>
        <v>Dohnal Josef</v>
      </c>
    </row>
    <row r="10" spans="1:11" ht="18" customHeight="1">
      <c r="A10" s="90">
        <v>8</v>
      </c>
      <c r="B10" s="94" t="s">
        <v>19</v>
      </c>
      <c r="C10" s="94">
        <v>8</v>
      </c>
      <c r="D10" s="89">
        <f>INDEX('1. závod'!$A:$AE,$C10+3,INDEX('Základní list'!$B:$B,MATCH($B10,'Základní list'!$A:$A,0),1))</f>
        <v>5150</v>
      </c>
      <c r="E10" s="89">
        <f>INDEX('1. závod'!$A:$AE,$C10+3,INDEX('Základní list'!$B:$B,MATCH($B10,'Základní list'!$A:$A,0),1)+2)</f>
        <v>3</v>
      </c>
      <c r="F10" s="91" t="str">
        <f>INDEX('1. závod'!$A:$AE,$C10+3,INDEX('Základní list'!$B:$B,MATCH($B10,'Základní list'!$A:$A,0),1)-1)</f>
        <v>Staněk Karel</v>
      </c>
      <c r="G10" s="94" t="s">
        <v>19</v>
      </c>
      <c r="H10" s="94">
        <v>8</v>
      </c>
      <c r="I10" s="89">
        <f>INDEX('2. závod'!$A:$AE,$H10+3,INDEX('Základní list'!$B:$B,MATCH($G10,'Základní list'!$A:$A,0),1))</f>
        <v>1600</v>
      </c>
      <c r="J10" s="89">
        <f>INDEX('2. závod'!$A:$AE,$H10+3,INDEX('Základní list'!$B:$B,MATCH($G10,'Základní list'!$A:$A,0),1)+2)</f>
        <v>5</v>
      </c>
      <c r="K10" s="91" t="str">
        <f>INDEX('2. závod'!$A:$AE,$H10+3,INDEX('Základní list'!$B:$B,MATCH($G10,'Základní list'!$A:$A,0),1)-1)</f>
        <v>Stejskal Miroslav</v>
      </c>
    </row>
    <row r="11" spans="1:11" ht="18" customHeight="1">
      <c r="A11" s="90">
        <v>9</v>
      </c>
      <c r="B11" s="94" t="s">
        <v>19</v>
      </c>
      <c r="C11" s="94">
        <v>9</v>
      </c>
      <c r="D11" s="89">
        <f>INDEX('1. závod'!$A:$AE,$C11+3,INDEX('Základní list'!$B:$B,MATCH($B11,'Základní list'!$A:$A,0),1))</f>
        <v>1100</v>
      </c>
      <c r="E11" s="89">
        <f>INDEX('1. závod'!$A:$AE,$C11+3,INDEX('Základní list'!$B:$B,MATCH($B11,'Základní list'!$A:$A,0),1)+2)</f>
        <v>8</v>
      </c>
      <c r="F11" s="91" t="str">
        <f>INDEX('1. závod'!$A:$AE,$C11+3,INDEX('Základní list'!$B:$B,MATCH($B11,'Základní list'!$A:$A,0),1)-1)</f>
        <v>Stejskal Miroslav</v>
      </c>
      <c r="G11" s="94" t="s">
        <v>19</v>
      </c>
      <c r="H11" s="94">
        <v>9</v>
      </c>
      <c r="I11" s="89">
        <f>INDEX('2. závod'!$A:$AE,$H11+3,INDEX('Základní list'!$B:$B,MATCH($G11,'Základní list'!$A:$A,0),1))</f>
        <v>2500</v>
      </c>
      <c r="J11" s="89">
        <f>INDEX('2. závod'!$A:$AE,$H11+3,INDEX('Základní list'!$B:$B,MATCH($G11,'Základní list'!$A:$A,0),1)+2)</f>
        <v>2.5</v>
      </c>
      <c r="K11" s="91" t="str">
        <f>INDEX('2. závod'!$A:$AE,$H11+3,INDEX('Základní list'!$B:$B,MATCH($G11,'Základní list'!$A:$A,0),1)-1)</f>
        <v>Šurgota Juraj</v>
      </c>
    </row>
    <row r="12" spans="1:11" ht="18" customHeight="1">
      <c r="A12" s="90">
        <v>10</v>
      </c>
      <c r="B12" s="94" t="s">
        <v>19</v>
      </c>
      <c r="C12" s="94">
        <v>10</v>
      </c>
      <c r="D12" s="89">
        <f>INDEX('1. závod'!$A:$AE,$C12+3,INDEX('Základní list'!$B:$B,MATCH($B12,'Základní list'!$A:$A,0),1))</f>
        <v>1500</v>
      </c>
      <c r="E12" s="89">
        <f>INDEX('1. závod'!$A:$AE,$C12+3,INDEX('Základní list'!$B:$B,MATCH($B12,'Základní list'!$A:$A,0),1)+2)</f>
        <v>6</v>
      </c>
      <c r="F12" s="91" t="str">
        <f>INDEX('1. závod'!$A:$AE,$C12+3,INDEX('Základní list'!$B:$B,MATCH($B12,'Základní list'!$A:$A,0),1)-1)</f>
        <v>Vinař René</v>
      </c>
      <c r="G12" s="94" t="s">
        <v>19</v>
      </c>
      <c r="H12" s="94">
        <v>10</v>
      </c>
      <c r="I12" s="89">
        <f>INDEX('2. závod'!$A:$AE,$H12+3,INDEX('Základní list'!$B:$B,MATCH($G12,'Základní list'!$A:$A,0),1))</f>
        <v>1450</v>
      </c>
      <c r="J12" s="89">
        <f>INDEX('2. závod'!$A:$AE,$H12+3,INDEX('Základní list'!$B:$B,MATCH($G12,'Základní list'!$A:$A,0),1)+2)</f>
        <v>7</v>
      </c>
      <c r="K12" s="91" t="str">
        <f>INDEX('2. závod'!$A:$AE,$H12+3,INDEX('Základní list'!$B:$B,MATCH($G12,'Základní list'!$A:$A,0),1)-1)</f>
        <v>Malypetr Zdeněk</v>
      </c>
    </row>
    <row r="13" spans="1:11" ht="18" customHeight="1">
      <c r="A13" s="90">
        <v>11</v>
      </c>
      <c r="B13" s="94" t="s">
        <v>23</v>
      </c>
      <c r="C13" s="94">
        <v>1</v>
      </c>
      <c r="D13" s="89">
        <f>INDEX('1. závod'!$A:$AE,$C13+3,INDEX('Základní list'!$B:$B,MATCH($B13,'Základní list'!$A:$A,0),1))</f>
        <v>4100</v>
      </c>
      <c r="E13" s="89">
        <f>INDEX('1. závod'!$A:$AE,$C13+3,INDEX('Základní list'!$B:$B,MATCH($B13,'Základní list'!$A:$A,0),1)+2)</f>
        <v>3</v>
      </c>
      <c r="F13" s="91" t="str">
        <f>INDEX('1. závod'!$A:$AE,$C13+3,INDEX('Základní list'!$B:$B,MATCH($B13,'Základní list'!$A:$A,0),1)-1)</f>
        <v>Řehoř Michal</v>
      </c>
      <c r="G13" s="94" t="s">
        <v>23</v>
      </c>
      <c r="H13" s="94">
        <v>1</v>
      </c>
      <c r="I13" s="89">
        <f>INDEX('2. závod'!$A:$AE,$H13+3,INDEX('Základní list'!$B:$B,MATCH($G13,'Základní list'!$A:$A,0),1))</f>
        <v>1150</v>
      </c>
      <c r="J13" s="89">
        <f>INDEX('2. závod'!$A:$AE,$H13+3,INDEX('Základní list'!$B:$B,MATCH($G13,'Základní list'!$A:$A,0),1)+2)</f>
        <v>7</v>
      </c>
      <c r="K13" s="91" t="str">
        <f>INDEX('2. závod'!$A:$AE,$H13+3,INDEX('Základní list'!$B:$B,MATCH($G13,'Základní list'!$A:$A,0),1)-1)</f>
        <v>Havlíček Petr</v>
      </c>
    </row>
    <row r="14" spans="1:11" ht="18" customHeight="1">
      <c r="A14" s="90">
        <v>12</v>
      </c>
      <c r="B14" s="94" t="s">
        <v>23</v>
      </c>
      <c r="C14" s="94">
        <v>2</v>
      </c>
      <c r="D14" s="89">
        <f>INDEX('1. závod'!$A:$AE,$C14+3,INDEX('Základní list'!$B:$B,MATCH($B14,'Základní list'!$A:$A,0),1))</f>
        <v>1300</v>
      </c>
      <c r="E14" s="89">
        <f>INDEX('1. závod'!$A:$AE,$C14+3,INDEX('Základní list'!$B:$B,MATCH($B14,'Základní list'!$A:$A,0),1)+2)</f>
        <v>5.5</v>
      </c>
      <c r="F14" s="91" t="str">
        <f>INDEX('1. závod'!$A:$AE,$C14+3,INDEX('Základní list'!$B:$B,MATCH($B14,'Základní list'!$A:$A,0),1)-1)</f>
        <v>Vitebský Jakub </v>
      </c>
      <c r="G14" s="94" t="s">
        <v>23</v>
      </c>
      <c r="H14" s="94">
        <v>2</v>
      </c>
      <c r="I14" s="89">
        <f>INDEX('2. závod'!$A:$AE,$H14+3,INDEX('Základní list'!$B:$B,MATCH($G14,'Základní list'!$A:$A,0),1))</f>
        <v>1300</v>
      </c>
      <c r="J14" s="89">
        <f>INDEX('2. závod'!$A:$AE,$H14+3,INDEX('Základní list'!$B:$B,MATCH($G14,'Základní list'!$A:$A,0),1)+2)</f>
        <v>6</v>
      </c>
      <c r="K14" s="91" t="str">
        <f>INDEX('2. závod'!$A:$AE,$H14+3,INDEX('Základní list'!$B:$B,MATCH($G14,'Základní list'!$A:$A,0),1)-1)</f>
        <v>Pelíšek František</v>
      </c>
    </row>
    <row r="15" spans="1:11" ht="18" customHeight="1">
      <c r="A15" s="90">
        <v>13</v>
      </c>
      <c r="B15" s="94" t="s">
        <v>23</v>
      </c>
      <c r="C15" s="94">
        <v>3</v>
      </c>
      <c r="D15" s="89">
        <f>INDEX('1. závod'!$A:$AE,$C15+3,INDEX('Základní list'!$B:$B,MATCH($B15,'Základní list'!$A:$A,0),1))</f>
        <v>7600</v>
      </c>
      <c r="E15" s="89">
        <f>INDEX('1. závod'!$A:$AE,$C15+3,INDEX('Základní list'!$B:$B,MATCH($B15,'Základní list'!$A:$A,0),1)+2)</f>
        <v>1</v>
      </c>
      <c r="F15" s="91" t="str">
        <f>INDEX('1. závod'!$A:$AE,$C15+3,INDEX('Základní list'!$B:$B,MATCH($B15,'Základní list'!$A:$A,0),1)-1)</f>
        <v>Štěpnička Radek</v>
      </c>
      <c r="G15" s="94" t="s">
        <v>23</v>
      </c>
      <c r="H15" s="94">
        <v>3</v>
      </c>
      <c r="I15" s="89">
        <f>INDEX('2. závod'!$A:$AE,$H15+3,INDEX('Základní list'!$B:$B,MATCH($G15,'Základní list'!$A:$A,0),1))</f>
        <v>700</v>
      </c>
      <c r="J15" s="89">
        <f>INDEX('2. závod'!$A:$AE,$H15+3,INDEX('Základní list'!$B:$B,MATCH($G15,'Základní list'!$A:$A,0),1)+2)</f>
        <v>9</v>
      </c>
      <c r="K15" s="91" t="str">
        <f>INDEX('2. závod'!$A:$AE,$H15+3,INDEX('Základní list'!$B:$B,MATCH($G15,'Základní list'!$A:$A,0),1)-1)</f>
        <v>Kuchař Petr</v>
      </c>
    </row>
    <row r="16" spans="1:11" ht="18" customHeight="1">
      <c r="A16" s="90">
        <v>14</v>
      </c>
      <c r="B16" s="94" t="s">
        <v>23</v>
      </c>
      <c r="C16" s="94">
        <v>4</v>
      </c>
      <c r="D16" s="89">
        <f>INDEX('1. závod'!$A:$AE,$C16+3,INDEX('Základní list'!$B:$B,MATCH($B16,'Základní list'!$A:$A,0),1))</f>
        <v>150</v>
      </c>
      <c r="E16" s="89">
        <f>INDEX('1. závod'!$A:$AE,$C16+3,INDEX('Základní list'!$B:$B,MATCH($B16,'Základní list'!$A:$A,0),1)+2)</f>
        <v>10</v>
      </c>
      <c r="F16" s="91" t="str">
        <f>INDEX('1. závod'!$A:$AE,$C16+3,INDEX('Základní list'!$B:$B,MATCH($B16,'Základní list'!$A:$A,0),1)-1)</f>
        <v>Podrápský Petr </v>
      </c>
      <c r="G16" s="94" t="s">
        <v>23</v>
      </c>
      <c r="H16" s="94">
        <v>4</v>
      </c>
      <c r="I16" s="89">
        <f>INDEX('2. závod'!$A:$AE,$H16+3,INDEX('Základní list'!$B:$B,MATCH($G16,'Základní list'!$A:$A,0),1))</f>
        <v>3650</v>
      </c>
      <c r="J16" s="89">
        <f>INDEX('2. závod'!$A:$AE,$H16+3,INDEX('Základní list'!$B:$B,MATCH($G16,'Základní list'!$A:$A,0),1)+2)</f>
        <v>1</v>
      </c>
      <c r="K16" s="91" t="str">
        <f>INDEX('2. závod'!$A:$AE,$H16+3,INDEX('Základní list'!$B:$B,MATCH($G16,'Základní list'!$A:$A,0),1)-1)</f>
        <v>Peřina Josef</v>
      </c>
    </row>
    <row r="17" spans="1:11" ht="18" customHeight="1">
      <c r="A17" s="90">
        <v>15</v>
      </c>
      <c r="B17" s="94" t="s">
        <v>23</v>
      </c>
      <c r="C17" s="94">
        <v>5</v>
      </c>
      <c r="D17" s="89">
        <f>INDEX('1. závod'!$A:$AE,$C17+3,INDEX('Základní list'!$B:$B,MATCH($B17,'Základní list'!$A:$A,0),1))</f>
        <v>1250</v>
      </c>
      <c r="E17" s="89">
        <f>INDEX('1. závod'!$A:$AE,$C17+3,INDEX('Základní list'!$B:$B,MATCH($B17,'Základní list'!$A:$A,0),1)+2)</f>
        <v>7</v>
      </c>
      <c r="F17" s="91" t="str">
        <f>INDEX('1. závod'!$A:$AE,$C17+3,INDEX('Základní list'!$B:$B,MATCH($B17,'Základní list'!$A:$A,0),1)-1)</f>
        <v>Bořuta Pavel</v>
      </c>
      <c r="G17" s="94" t="s">
        <v>23</v>
      </c>
      <c r="H17" s="94">
        <v>5</v>
      </c>
      <c r="I17" s="89">
        <f>INDEX('2. závod'!$A:$AE,$H17+3,INDEX('Základní list'!$B:$B,MATCH($G17,'Základní list'!$A:$A,0),1))</f>
        <v>650</v>
      </c>
      <c r="J17" s="89">
        <f>INDEX('2. závod'!$A:$AE,$H17+3,INDEX('Základní list'!$B:$B,MATCH($G17,'Základní list'!$A:$A,0),1)+2)</f>
        <v>10</v>
      </c>
      <c r="K17" s="91" t="str">
        <f>INDEX('2. závod'!$A:$AE,$H17+3,INDEX('Základní list'!$B:$B,MATCH($G17,'Základní list'!$A:$A,0),1)-1)</f>
        <v>Řehoř Michal</v>
      </c>
    </row>
    <row r="18" spans="1:11" ht="18" customHeight="1">
      <c r="A18" s="90">
        <v>16</v>
      </c>
      <c r="B18" s="94" t="s">
        <v>23</v>
      </c>
      <c r="C18" s="94">
        <v>6</v>
      </c>
      <c r="D18" s="89">
        <f>INDEX('1. závod'!$A:$AE,$C18+3,INDEX('Základní list'!$B:$B,MATCH($B18,'Základní list'!$A:$A,0),1))</f>
        <v>1450</v>
      </c>
      <c r="E18" s="89">
        <f>INDEX('1. závod'!$A:$AE,$C18+3,INDEX('Základní list'!$B:$B,MATCH($B18,'Základní list'!$A:$A,0),1)+2)</f>
        <v>4</v>
      </c>
      <c r="F18" s="91" t="str">
        <f>INDEX('1. závod'!$A:$AE,$C18+3,INDEX('Základní list'!$B:$B,MATCH($B18,'Základní list'!$A:$A,0),1)-1)</f>
        <v>Dorotík Tomáš</v>
      </c>
      <c r="G18" s="94" t="s">
        <v>23</v>
      </c>
      <c r="H18" s="94">
        <v>6</v>
      </c>
      <c r="I18" s="89">
        <f>INDEX('2. závod'!$A:$AE,$H18+3,INDEX('Základní list'!$B:$B,MATCH($G18,'Základní list'!$A:$A,0),1))</f>
        <v>1600</v>
      </c>
      <c r="J18" s="89">
        <f>INDEX('2. závod'!$A:$AE,$H18+3,INDEX('Základní list'!$B:$B,MATCH($G18,'Základní list'!$A:$A,0),1)+2)</f>
        <v>4</v>
      </c>
      <c r="K18" s="91" t="str">
        <f>INDEX('2. závod'!$A:$AE,$H18+3,INDEX('Základní list'!$B:$B,MATCH($G18,'Základní list'!$A:$A,0),1)-1)</f>
        <v>Karásek Pavel</v>
      </c>
    </row>
    <row r="19" spans="1:11" ht="18" customHeight="1">
      <c r="A19" s="90">
        <v>17</v>
      </c>
      <c r="B19" s="94" t="s">
        <v>23</v>
      </c>
      <c r="C19" s="94">
        <v>7</v>
      </c>
      <c r="D19" s="89">
        <f>INDEX('1. závod'!$A:$AE,$C19+3,INDEX('Základní list'!$B:$B,MATCH($B19,'Základní list'!$A:$A,0),1))</f>
        <v>1050</v>
      </c>
      <c r="E19" s="89">
        <f>INDEX('1. závod'!$A:$AE,$C19+3,INDEX('Základní list'!$B:$B,MATCH($B19,'Základní list'!$A:$A,0),1)+2)</f>
        <v>8</v>
      </c>
      <c r="F19" s="91" t="str">
        <f>INDEX('1. závod'!$A:$AE,$C19+3,INDEX('Základní list'!$B:$B,MATCH($B19,'Základní list'!$A:$A,0),1)-1)</f>
        <v>Smutný Jiří</v>
      </c>
      <c r="G19" s="94" t="s">
        <v>23</v>
      </c>
      <c r="H19" s="94">
        <v>7</v>
      </c>
      <c r="I19" s="89">
        <f>INDEX('2. závod'!$A:$AE,$H19+3,INDEX('Základní list'!$B:$B,MATCH($G19,'Základní list'!$A:$A,0),1))</f>
        <v>1500</v>
      </c>
      <c r="J19" s="89">
        <f>INDEX('2. závod'!$A:$AE,$H19+3,INDEX('Základní list'!$B:$B,MATCH($G19,'Základní list'!$A:$A,0),1)+2)</f>
        <v>5</v>
      </c>
      <c r="K19" s="91" t="str">
        <f>INDEX('2. závod'!$A:$AE,$H19+3,INDEX('Základní list'!$B:$B,MATCH($G19,'Základní list'!$A:$A,0),1)-1)</f>
        <v>Soukup Michal</v>
      </c>
    </row>
    <row r="20" spans="1:11" ht="18" customHeight="1">
      <c r="A20" s="90">
        <v>18</v>
      </c>
      <c r="B20" s="94" t="s">
        <v>23</v>
      </c>
      <c r="C20" s="94">
        <v>8</v>
      </c>
      <c r="D20" s="89">
        <f>INDEX('1. závod'!$A:$AE,$C20+3,INDEX('Základní list'!$B:$B,MATCH($B20,'Základní list'!$A:$A,0),1))</f>
        <v>1300</v>
      </c>
      <c r="E20" s="89">
        <f>INDEX('1. závod'!$A:$AE,$C20+3,INDEX('Základní list'!$B:$B,MATCH($B20,'Základní list'!$A:$A,0),1)+2)</f>
        <v>5.5</v>
      </c>
      <c r="F20" s="91" t="str">
        <f>INDEX('1. závod'!$A:$AE,$C20+3,INDEX('Základní list'!$B:$B,MATCH($B20,'Základní list'!$A:$A,0),1)-1)</f>
        <v>Tóth Petr</v>
      </c>
      <c r="G20" s="94" t="s">
        <v>23</v>
      </c>
      <c r="H20" s="94">
        <v>8</v>
      </c>
      <c r="I20" s="89">
        <f>INDEX('2. závod'!$A:$AE,$H20+3,INDEX('Základní list'!$B:$B,MATCH($G20,'Základní list'!$A:$A,0),1))</f>
        <v>2050</v>
      </c>
      <c r="J20" s="89">
        <f>INDEX('2. závod'!$A:$AE,$H20+3,INDEX('Základní list'!$B:$B,MATCH($G20,'Základní list'!$A:$A,0),1)+2)</f>
        <v>2</v>
      </c>
      <c r="K20" s="91" t="str">
        <f>INDEX('2. závod'!$A:$AE,$H20+3,INDEX('Základní list'!$B:$B,MATCH($G20,'Základní list'!$A:$A,0),1)-1)</f>
        <v>Konopásek Jaroslav </v>
      </c>
    </row>
    <row r="21" spans="1:11" ht="18" customHeight="1">
      <c r="A21" s="90">
        <v>19</v>
      </c>
      <c r="B21" s="94" t="s">
        <v>23</v>
      </c>
      <c r="C21" s="94">
        <v>9</v>
      </c>
      <c r="D21" s="89">
        <f>INDEX('1. závod'!$A:$AE,$C21+3,INDEX('Základní list'!$B:$B,MATCH($B21,'Základní list'!$A:$A,0),1))</f>
        <v>7200</v>
      </c>
      <c r="E21" s="89">
        <f>INDEX('1. závod'!$A:$AE,$C21+3,INDEX('Základní list'!$B:$B,MATCH($B21,'Základní list'!$A:$A,0),1)+2)</f>
        <v>2</v>
      </c>
      <c r="F21" s="91" t="str">
        <f>INDEX('1. závod'!$A:$AE,$C21+3,INDEX('Základní list'!$B:$B,MATCH($B21,'Základní list'!$A:$A,0),1)-1)</f>
        <v>Srb Roman</v>
      </c>
      <c r="G21" s="94" t="s">
        <v>23</v>
      </c>
      <c r="H21" s="94">
        <v>9</v>
      </c>
      <c r="I21" s="89">
        <f>INDEX('2. závod'!$A:$AE,$H21+3,INDEX('Základní list'!$B:$B,MATCH($G21,'Základní list'!$A:$A,0),1))</f>
        <v>850</v>
      </c>
      <c r="J21" s="89">
        <f>INDEX('2. závod'!$A:$AE,$H21+3,INDEX('Základní list'!$B:$B,MATCH($G21,'Základní list'!$A:$A,0),1)+2)</f>
        <v>8</v>
      </c>
      <c r="K21" s="91" t="str">
        <f>INDEX('2. závod'!$A:$AE,$H21+3,INDEX('Základní list'!$B:$B,MATCH($G21,'Základní list'!$A:$A,0),1)-1)</f>
        <v>Dorotík Tomáš</v>
      </c>
    </row>
    <row r="22" spans="1:11" ht="18" customHeight="1">
      <c r="A22" s="90">
        <v>20</v>
      </c>
      <c r="B22" s="94" t="s">
        <v>23</v>
      </c>
      <c r="C22" s="94">
        <v>10</v>
      </c>
      <c r="D22" s="89">
        <f>INDEX('1. závod'!$A:$AE,$C22+3,INDEX('Základní list'!$B:$B,MATCH($B22,'Základní list'!$A:$A,0),1))</f>
        <v>300</v>
      </c>
      <c r="E22" s="89">
        <f>INDEX('1. závod'!$A:$AE,$C22+3,INDEX('Základní list'!$B:$B,MATCH($B22,'Základní list'!$A:$A,0),1)+2)</f>
        <v>9</v>
      </c>
      <c r="F22" s="91" t="str">
        <f>INDEX('1. závod'!$A:$AE,$C22+3,INDEX('Základní list'!$B:$B,MATCH($B22,'Základní list'!$A:$A,0),1)-1)</f>
        <v>Hlína Václav</v>
      </c>
      <c r="G22" s="94" t="s">
        <v>23</v>
      </c>
      <c r="H22" s="94">
        <v>10</v>
      </c>
      <c r="I22" s="89">
        <f>INDEX('2. závod'!$A:$AE,$H22+3,INDEX('Základní list'!$B:$B,MATCH($G22,'Základní list'!$A:$A,0),1))</f>
        <v>1800</v>
      </c>
      <c r="J22" s="89">
        <f>INDEX('2. závod'!$A:$AE,$H22+3,INDEX('Základní list'!$B:$B,MATCH($G22,'Základní list'!$A:$A,0),1)+2)</f>
        <v>3</v>
      </c>
      <c r="K22" s="91" t="str">
        <f>INDEX('2. závod'!$A:$AE,$H22+3,INDEX('Základní list'!$B:$B,MATCH($G22,'Základní list'!$A:$A,0),1)-1)</f>
        <v>Baranka Vladimír</v>
      </c>
    </row>
    <row r="23" spans="1:11" ht="18" customHeight="1">
      <c r="A23" s="90">
        <v>21</v>
      </c>
      <c r="B23" s="94" t="s">
        <v>22</v>
      </c>
      <c r="C23" s="94">
        <v>1</v>
      </c>
      <c r="D23" s="89">
        <f>INDEX('1. závod'!$A:$AE,$C23+3,INDEX('Základní list'!$B:$B,MATCH($B23,'Základní list'!$A:$A,0),1))</f>
        <v>1150</v>
      </c>
      <c r="E23" s="89">
        <f>INDEX('1. závod'!$A:$AE,$C23+3,INDEX('Základní list'!$B:$B,MATCH($B23,'Základní list'!$A:$A,0),1)+2)</f>
        <v>6.5</v>
      </c>
      <c r="F23" s="91" t="str">
        <f>INDEX('1. závod'!$A:$AE,$C23+3,INDEX('Základní list'!$B:$B,MATCH($B23,'Základní list'!$A:$A,0),1)-1)</f>
        <v>Hanousek Václav</v>
      </c>
      <c r="G23" s="94" t="s">
        <v>22</v>
      </c>
      <c r="H23" s="94">
        <v>1</v>
      </c>
      <c r="I23" s="89">
        <f>INDEX('2. závod'!$A:$AE,$H23+3,INDEX('Základní list'!$B:$B,MATCH($G23,'Základní list'!$A:$A,0),1))</f>
        <v>0</v>
      </c>
      <c r="J23" s="89">
        <f>INDEX('2. závod'!$A:$AE,$H23+3,INDEX('Základní list'!$B:$B,MATCH($G23,'Základní list'!$A:$A,0),1)+2)</f>
        <v>10</v>
      </c>
      <c r="K23" s="91" t="str">
        <f>INDEX('2. závod'!$A:$AE,$H23+3,INDEX('Základní list'!$B:$B,MATCH($G23,'Základní list'!$A:$A,0),1)-1)</f>
        <v>Hlína Václav</v>
      </c>
    </row>
    <row r="24" spans="1:11" ht="18" customHeight="1">
      <c r="A24" s="90">
        <v>22</v>
      </c>
      <c r="B24" s="94" t="s">
        <v>22</v>
      </c>
      <c r="C24" s="94">
        <v>2</v>
      </c>
      <c r="D24" s="89">
        <f>INDEX('1. závod'!$A:$AE,$C24+3,INDEX('Základní list'!$B:$B,MATCH($B24,'Základní list'!$A:$A,0),1))</f>
        <v>100</v>
      </c>
      <c r="E24" s="89">
        <f>INDEX('1. závod'!$A:$AE,$C24+3,INDEX('Základní list'!$B:$B,MATCH($B24,'Základní list'!$A:$A,0),1)+2)</f>
        <v>10</v>
      </c>
      <c r="F24" s="91" t="str">
        <f>INDEX('1. závod'!$A:$AE,$C24+3,INDEX('Základní list'!$B:$B,MATCH($B24,'Základní list'!$A:$A,0),1)-1)</f>
        <v>Stříbrský Viktor</v>
      </c>
      <c r="G24" s="94" t="s">
        <v>22</v>
      </c>
      <c r="H24" s="94">
        <v>2</v>
      </c>
      <c r="I24" s="89">
        <f>INDEX('2. závod'!$A:$AE,$H24+3,INDEX('Základní list'!$B:$B,MATCH($G24,'Základní list'!$A:$A,0),1))</f>
        <v>1500</v>
      </c>
      <c r="J24" s="89">
        <f>INDEX('2. závod'!$A:$AE,$H24+3,INDEX('Základní list'!$B:$B,MATCH($G24,'Základní list'!$A:$A,0),1)+2)</f>
        <v>4</v>
      </c>
      <c r="K24" s="91" t="str">
        <f>INDEX('2. závod'!$A:$AE,$H24+3,INDEX('Základní list'!$B:$B,MATCH($G24,'Základní list'!$A:$A,0),1)-1)</f>
        <v>Podrápský Petr </v>
      </c>
    </row>
    <row r="25" spans="1:11" ht="18" customHeight="1">
      <c r="A25" s="90">
        <v>23</v>
      </c>
      <c r="B25" s="94" t="s">
        <v>22</v>
      </c>
      <c r="C25" s="94">
        <v>3</v>
      </c>
      <c r="D25" s="89">
        <f>INDEX('1. závod'!$A:$AE,$C25+3,INDEX('Základní list'!$B:$B,MATCH($B25,'Základní list'!$A:$A,0),1))</f>
        <v>2800</v>
      </c>
      <c r="E25" s="89">
        <f>INDEX('1. závod'!$A:$AE,$C25+3,INDEX('Základní list'!$B:$B,MATCH($B25,'Základní list'!$A:$A,0),1)+2)</f>
        <v>3</v>
      </c>
      <c r="F25" s="91" t="str">
        <f>INDEX('1. závod'!$A:$AE,$C25+3,INDEX('Základní list'!$B:$B,MATCH($B25,'Základní list'!$A:$A,0),1)-1)</f>
        <v>Popadinec Richard</v>
      </c>
      <c r="G25" s="94" t="s">
        <v>22</v>
      </c>
      <c r="H25" s="94">
        <v>3</v>
      </c>
      <c r="I25" s="89">
        <f>INDEX('2. závod'!$A:$AE,$H25+3,INDEX('Základní list'!$B:$B,MATCH($G25,'Základní list'!$A:$A,0),1))</f>
        <v>1850</v>
      </c>
      <c r="J25" s="89">
        <f>INDEX('2. závod'!$A:$AE,$H25+3,INDEX('Základní list'!$B:$B,MATCH($G25,'Základní list'!$A:$A,0),1)+2)</f>
        <v>2</v>
      </c>
      <c r="K25" s="91" t="str">
        <f>INDEX('2. závod'!$A:$AE,$H25+3,INDEX('Základní list'!$B:$B,MATCH($G25,'Základní list'!$A:$A,0),1)-1)</f>
        <v>Krýsl Pavel</v>
      </c>
    </row>
    <row r="26" spans="1:11" ht="18" customHeight="1">
      <c r="A26" s="90">
        <v>24</v>
      </c>
      <c r="B26" s="94" t="s">
        <v>22</v>
      </c>
      <c r="C26" s="94">
        <v>4</v>
      </c>
      <c r="D26" s="89">
        <f>INDEX('1. závod'!$A:$AE,$C26+3,INDEX('Základní list'!$B:$B,MATCH($B26,'Základní list'!$A:$A,0),1))</f>
        <v>1400</v>
      </c>
      <c r="E26" s="89">
        <f>INDEX('1. závod'!$A:$AE,$C26+3,INDEX('Základní list'!$B:$B,MATCH($B26,'Základní list'!$A:$A,0),1)+2)</f>
        <v>5</v>
      </c>
      <c r="F26" s="91" t="str">
        <f>INDEX('1. závod'!$A:$AE,$C26+3,INDEX('Základní list'!$B:$B,MATCH($B26,'Základní list'!$A:$A,0),1)-1)</f>
        <v>Dušánek Bohuslav</v>
      </c>
      <c r="G26" s="94" t="s">
        <v>22</v>
      </c>
      <c r="H26" s="94">
        <v>4</v>
      </c>
      <c r="I26" s="89">
        <f>INDEX('2. závod'!$A:$AE,$H26+3,INDEX('Základní list'!$B:$B,MATCH($G26,'Základní list'!$A:$A,0),1))</f>
        <v>1550</v>
      </c>
      <c r="J26" s="89">
        <f>INDEX('2. závod'!$A:$AE,$H26+3,INDEX('Základní list'!$B:$B,MATCH($G26,'Základní list'!$A:$A,0),1)+2)</f>
        <v>3</v>
      </c>
      <c r="K26" s="91" t="str">
        <f>INDEX('2. závod'!$A:$AE,$H26+3,INDEX('Základní list'!$B:$B,MATCH($G26,'Základní list'!$A:$A,0),1)-1)</f>
        <v>Kabourek Václav</v>
      </c>
    </row>
    <row r="27" spans="1:11" ht="18" customHeight="1">
      <c r="A27" s="90">
        <v>25</v>
      </c>
      <c r="B27" s="94" t="s">
        <v>22</v>
      </c>
      <c r="C27" s="94">
        <v>5</v>
      </c>
      <c r="D27" s="89">
        <f>INDEX('1. závod'!$A:$AE,$C27+3,INDEX('Základní list'!$B:$B,MATCH($B27,'Základní list'!$A:$A,0),1))</f>
        <v>550</v>
      </c>
      <c r="E27" s="89">
        <f>INDEX('1. závod'!$A:$AE,$C27+3,INDEX('Základní list'!$B:$B,MATCH($B27,'Základní list'!$A:$A,0),1)+2)</f>
        <v>8</v>
      </c>
      <c r="F27" s="91" t="str">
        <f>INDEX('1. závod'!$A:$AE,$C27+3,INDEX('Základní list'!$B:$B,MATCH($B27,'Základní list'!$A:$A,0),1)-1)</f>
        <v>Pelíšek František</v>
      </c>
      <c r="G27" s="94" t="s">
        <v>22</v>
      </c>
      <c r="H27" s="94">
        <v>5</v>
      </c>
      <c r="I27" s="89">
        <f>INDEX('2. závod'!$A:$AE,$H27+3,INDEX('Základní list'!$B:$B,MATCH($G27,'Základní list'!$A:$A,0),1))</f>
        <v>3550</v>
      </c>
      <c r="J27" s="89">
        <f>INDEX('2. závod'!$A:$AE,$H27+3,INDEX('Základní list'!$B:$B,MATCH($G27,'Základní list'!$A:$A,0),1)+2)</f>
        <v>1</v>
      </c>
      <c r="K27" s="91" t="str">
        <f>INDEX('2. závod'!$A:$AE,$H27+3,INDEX('Základní list'!$B:$B,MATCH($G27,'Základní list'!$A:$A,0),1)-1)</f>
        <v>Sládek Petr</v>
      </c>
    </row>
    <row r="28" spans="1:11" ht="18" customHeight="1">
      <c r="A28" s="90">
        <v>26</v>
      </c>
      <c r="B28" s="94" t="s">
        <v>22</v>
      </c>
      <c r="C28" s="94">
        <v>6</v>
      </c>
      <c r="D28" s="89">
        <f>INDEX('1. závod'!$A:$AE,$C28+3,INDEX('Základní list'!$B:$B,MATCH($B28,'Základní list'!$A:$A,0),1))</f>
        <v>2650</v>
      </c>
      <c r="E28" s="89">
        <f>INDEX('1. závod'!$A:$AE,$C28+3,INDEX('Základní list'!$B:$B,MATCH($B28,'Základní list'!$A:$A,0),1)+2)</f>
        <v>4</v>
      </c>
      <c r="F28" s="91" t="str">
        <f>INDEX('1. závod'!$A:$AE,$C28+3,INDEX('Základní list'!$B:$B,MATCH($B28,'Základní list'!$A:$A,0),1)-1)</f>
        <v>Tychler Milan</v>
      </c>
      <c r="G28" s="94" t="s">
        <v>22</v>
      </c>
      <c r="H28" s="94">
        <v>6</v>
      </c>
      <c r="I28" s="89">
        <f>INDEX('2. závod'!$A:$AE,$H28+3,INDEX('Základní list'!$B:$B,MATCH($G28,'Základní list'!$A:$A,0),1))</f>
        <v>1200</v>
      </c>
      <c r="J28" s="89">
        <f>INDEX('2. závod'!$A:$AE,$H28+3,INDEX('Základní list'!$B:$B,MATCH($G28,'Základní list'!$A:$A,0),1)+2)</f>
        <v>5</v>
      </c>
      <c r="K28" s="91" t="str">
        <f>INDEX('2. závod'!$A:$AE,$H28+3,INDEX('Základní list'!$B:$B,MATCH($G28,'Základní list'!$A:$A,0),1)-1)</f>
        <v>Ouředníček Jan</v>
      </c>
    </row>
    <row r="29" spans="1:11" ht="18" customHeight="1">
      <c r="A29" s="90">
        <v>27</v>
      </c>
      <c r="B29" s="94" t="s">
        <v>22</v>
      </c>
      <c r="C29" s="94">
        <v>7</v>
      </c>
      <c r="D29" s="89">
        <f>INDEX('1. závod'!$A:$AE,$C29+3,INDEX('Základní list'!$B:$B,MATCH($B29,'Základní list'!$A:$A,0),1))</f>
        <v>1150</v>
      </c>
      <c r="E29" s="89">
        <f>INDEX('1. závod'!$A:$AE,$C29+3,INDEX('Základní list'!$B:$B,MATCH($B29,'Základní list'!$A:$A,0),1)+2)</f>
        <v>6.5</v>
      </c>
      <c r="F29" s="91" t="str">
        <f>INDEX('1. závod'!$A:$AE,$C29+3,INDEX('Základní list'!$B:$B,MATCH($B29,'Základní list'!$A:$A,0),1)-1)</f>
        <v>Vodička Miloslav</v>
      </c>
      <c r="G29" s="94" t="s">
        <v>22</v>
      </c>
      <c r="H29" s="94">
        <v>7</v>
      </c>
      <c r="I29" s="89">
        <f>INDEX('2. závod'!$A:$AE,$H29+3,INDEX('Základní list'!$B:$B,MATCH($G29,'Základní list'!$A:$A,0),1))</f>
        <v>900</v>
      </c>
      <c r="J29" s="89">
        <f>INDEX('2. závod'!$A:$AE,$H29+3,INDEX('Základní list'!$B:$B,MATCH($G29,'Základní list'!$A:$A,0),1)+2)</f>
        <v>6.5</v>
      </c>
      <c r="K29" s="91" t="str">
        <f>INDEX('2. závod'!$A:$AE,$H29+3,INDEX('Základní list'!$B:$B,MATCH($G29,'Základní list'!$A:$A,0),1)-1)</f>
        <v>Bromovský Petr</v>
      </c>
    </row>
    <row r="30" spans="1:11" ht="18" customHeight="1">
      <c r="A30" s="90">
        <v>28</v>
      </c>
      <c r="B30" s="94" t="s">
        <v>22</v>
      </c>
      <c r="C30" s="94">
        <v>8</v>
      </c>
      <c r="D30" s="89">
        <f>INDEX('1. závod'!$A:$AE,$C30+3,INDEX('Základní list'!$B:$B,MATCH($B30,'Základní list'!$A:$A,0),1))</f>
        <v>4150</v>
      </c>
      <c r="E30" s="89">
        <f>INDEX('1. závod'!$A:$AE,$C30+3,INDEX('Základní list'!$B:$B,MATCH($B30,'Základní list'!$A:$A,0),1)+2)</f>
        <v>2</v>
      </c>
      <c r="F30" s="91" t="str">
        <f>INDEX('1. závod'!$A:$AE,$C30+3,INDEX('Základní list'!$B:$B,MATCH($B30,'Základní list'!$A:$A,0),1)-1)</f>
        <v>Juřík Milan</v>
      </c>
      <c r="G30" s="94" t="s">
        <v>22</v>
      </c>
      <c r="H30" s="94">
        <v>8</v>
      </c>
      <c r="I30" s="89">
        <f>INDEX('2. závod'!$A:$AE,$H30+3,INDEX('Základní list'!$B:$B,MATCH($G30,'Základní list'!$A:$A,0),1))</f>
        <v>800</v>
      </c>
      <c r="J30" s="89">
        <f>INDEX('2. závod'!$A:$AE,$H30+3,INDEX('Základní list'!$B:$B,MATCH($G30,'Základní list'!$A:$A,0),1)+2)</f>
        <v>8</v>
      </c>
      <c r="K30" s="91" t="str">
        <f>INDEX('2. závod'!$A:$AE,$H30+3,INDEX('Základní list'!$B:$B,MATCH($G30,'Základní list'!$A:$A,0),1)-1)</f>
        <v>Panocha Josef</v>
      </c>
    </row>
    <row r="31" spans="1:11" ht="18" customHeight="1">
      <c r="A31" s="90">
        <v>29</v>
      </c>
      <c r="B31" s="94" t="s">
        <v>22</v>
      </c>
      <c r="C31" s="94">
        <v>9</v>
      </c>
      <c r="D31" s="89">
        <f>INDEX('1. závod'!$A:$AE,$C31+3,INDEX('Základní list'!$B:$B,MATCH($B31,'Základní list'!$A:$A,0),1))</f>
        <v>200</v>
      </c>
      <c r="E31" s="89">
        <f>INDEX('1. závod'!$A:$AE,$C31+3,INDEX('Základní list'!$B:$B,MATCH($B31,'Základní list'!$A:$A,0),1)+2)</f>
        <v>9</v>
      </c>
      <c r="F31" s="91" t="str">
        <f>INDEX('1. závod'!$A:$AE,$C31+3,INDEX('Základní list'!$B:$B,MATCH($B31,'Základní list'!$A:$A,0),1)-1)</f>
        <v>Soukup Michal</v>
      </c>
      <c r="G31" s="94" t="s">
        <v>22</v>
      </c>
      <c r="H31" s="94">
        <v>9</v>
      </c>
      <c r="I31" s="89">
        <f>INDEX('2. závod'!$A:$AE,$H31+3,INDEX('Základní list'!$B:$B,MATCH($G31,'Základní list'!$A:$A,0),1))</f>
        <v>900</v>
      </c>
      <c r="J31" s="89">
        <f>INDEX('2. závod'!$A:$AE,$H31+3,INDEX('Základní list'!$B:$B,MATCH($G31,'Základní list'!$A:$A,0),1)+2)</f>
        <v>6.5</v>
      </c>
      <c r="K31" s="91" t="str">
        <f>INDEX('2. závod'!$A:$AE,$H31+3,INDEX('Základní list'!$B:$B,MATCH($G31,'Základní list'!$A:$A,0),1)-1)</f>
        <v>Goda Jan</v>
      </c>
    </row>
    <row r="32" spans="1:11" ht="18" customHeight="1">
      <c r="A32" s="90">
        <v>30</v>
      </c>
      <c r="B32" s="94" t="s">
        <v>22</v>
      </c>
      <c r="C32" s="94">
        <v>10</v>
      </c>
      <c r="D32" s="89">
        <f>INDEX('1. závod'!$A:$AE,$C32+3,INDEX('Základní list'!$B:$B,MATCH($B32,'Základní list'!$A:$A,0),1))</f>
        <v>11850</v>
      </c>
      <c r="E32" s="89">
        <f>INDEX('1. závod'!$A:$AE,$C32+3,INDEX('Základní list'!$B:$B,MATCH($B32,'Základní list'!$A:$A,0),1)+2)</f>
        <v>1</v>
      </c>
      <c r="F32" s="91" t="str">
        <f>INDEX('1. závod'!$A:$AE,$C32+3,INDEX('Základní list'!$B:$B,MATCH($B32,'Základní list'!$A:$A,0),1)-1)</f>
        <v>Pavelka Viktor</v>
      </c>
      <c r="G32" s="94" t="s">
        <v>22</v>
      </c>
      <c r="H32" s="94">
        <v>10</v>
      </c>
      <c r="I32" s="89">
        <f>INDEX('2. závod'!$A:$AE,$H32+3,INDEX('Základní list'!$B:$B,MATCH($G32,'Základní list'!$A:$A,0),1))</f>
        <v>250</v>
      </c>
      <c r="J32" s="89">
        <f>INDEX('2. závod'!$A:$AE,$H32+3,INDEX('Základní list'!$B:$B,MATCH($G32,'Základní list'!$A:$A,0),1)+2)</f>
        <v>9</v>
      </c>
      <c r="K32" s="91" t="str">
        <f>INDEX('2. závod'!$A:$AE,$H32+3,INDEX('Základní list'!$B:$B,MATCH($G32,'Základní list'!$A:$A,0),1)-1)</f>
        <v>Douša Jan</v>
      </c>
    </row>
    <row r="33" spans="1:11" ht="18" customHeight="1">
      <c r="A33" s="90">
        <v>31</v>
      </c>
      <c r="B33" s="94" t="s">
        <v>20</v>
      </c>
      <c r="C33" s="94">
        <v>1</v>
      </c>
      <c r="D33" s="89">
        <f>INDEX('1. závod'!$A:$AE,$C33+3,INDEX('Základní list'!$B:$B,MATCH($B33,'Základní list'!$A:$A,0),1))</f>
        <v>2280</v>
      </c>
      <c r="E33" s="89">
        <f>INDEX('1. závod'!$A:$AE,$C33+3,INDEX('Základní list'!$B:$B,MATCH($B33,'Základní list'!$A:$A,0),1)+2)</f>
        <v>6</v>
      </c>
      <c r="F33" s="91" t="str">
        <f>INDEX('1. závod'!$A:$AE,$C33+3,INDEX('Základní list'!$B:$B,MATCH($B33,'Základní list'!$A:$A,0),1)-1)</f>
        <v>Bromovský Petr</v>
      </c>
      <c r="G33" s="94" t="s">
        <v>20</v>
      </c>
      <c r="H33" s="94">
        <v>1</v>
      </c>
      <c r="I33" s="89">
        <f>INDEX('2. závod'!$A:$AE,$H33+3,INDEX('Základní list'!$B:$B,MATCH($G33,'Základní list'!$A:$A,0),1))</f>
        <v>660</v>
      </c>
      <c r="J33" s="89">
        <f>INDEX('2. závod'!$A:$AE,$H33+3,INDEX('Základní list'!$B:$B,MATCH($G33,'Základní list'!$A:$A,0),1)+2)</f>
        <v>9</v>
      </c>
      <c r="K33" s="91" t="str">
        <f>INDEX('2. závod'!$A:$AE,$H33+3,INDEX('Základní list'!$B:$B,MATCH($G33,'Základní list'!$A:$A,0),1)-1)</f>
        <v>Malypetr Zdeněk ml.</v>
      </c>
    </row>
    <row r="34" spans="1:11" ht="18" customHeight="1">
      <c r="A34" s="90">
        <v>32</v>
      </c>
      <c r="B34" s="94" t="s">
        <v>20</v>
      </c>
      <c r="C34" s="94">
        <v>2</v>
      </c>
      <c r="D34" s="89">
        <f>INDEX('1. závod'!$A:$AE,$C34+3,INDEX('Základní list'!$B:$B,MATCH($B34,'Základní list'!$A:$A,0),1))</f>
        <v>4200</v>
      </c>
      <c r="E34" s="89">
        <f>INDEX('1. závod'!$A:$AE,$C34+3,INDEX('Základní list'!$B:$B,MATCH($B34,'Základní list'!$A:$A,0),1)+2)</f>
        <v>2</v>
      </c>
      <c r="F34" s="91" t="str">
        <f>INDEX('1. závod'!$A:$AE,$C34+3,INDEX('Základní list'!$B:$B,MATCH($B34,'Základní list'!$A:$A,0),1)-1)</f>
        <v>Hahn Petr</v>
      </c>
      <c r="G34" s="94" t="s">
        <v>20</v>
      </c>
      <c r="H34" s="94">
        <v>2</v>
      </c>
      <c r="I34" s="89">
        <f>INDEX('2. závod'!$A:$AE,$H34+3,INDEX('Základní list'!$B:$B,MATCH($G34,'Základní list'!$A:$A,0),1))</f>
        <v>2140</v>
      </c>
      <c r="J34" s="89">
        <f>INDEX('2. závod'!$A:$AE,$H34+3,INDEX('Základní list'!$B:$B,MATCH($G34,'Základní list'!$A:$A,0),1)+2)</f>
        <v>4</v>
      </c>
      <c r="K34" s="91" t="str">
        <f>INDEX('2. závod'!$A:$AE,$H34+3,INDEX('Základní list'!$B:$B,MATCH($G34,'Základní list'!$A:$A,0),1)-1)</f>
        <v>Vinař René</v>
      </c>
    </row>
    <row r="35" spans="1:11" ht="18" customHeight="1">
      <c r="A35" s="90">
        <v>33</v>
      </c>
      <c r="B35" s="94" t="s">
        <v>20</v>
      </c>
      <c r="C35" s="94">
        <v>3</v>
      </c>
      <c r="D35" s="89">
        <f>INDEX('1. závod'!$A:$AE,$C35+3,INDEX('Základní list'!$B:$B,MATCH($B35,'Základní list'!$A:$A,0),1))</f>
        <v>980</v>
      </c>
      <c r="E35" s="89">
        <f>INDEX('1. závod'!$A:$AE,$C35+3,INDEX('Základní list'!$B:$B,MATCH($B35,'Základní list'!$A:$A,0),1)+2)</f>
        <v>9</v>
      </c>
      <c r="F35" s="91" t="str">
        <f>INDEX('1. závod'!$A:$AE,$C35+3,INDEX('Základní list'!$B:$B,MATCH($B35,'Základní list'!$A:$A,0),1)-1)</f>
        <v>Kodýdek Jiří</v>
      </c>
      <c r="G35" s="94" t="s">
        <v>20</v>
      </c>
      <c r="H35" s="94">
        <v>3</v>
      </c>
      <c r="I35" s="89">
        <f>INDEX('2. závod'!$A:$AE,$H35+3,INDEX('Základní list'!$B:$B,MATCH($G35,'Základní list'!$A:$A,0),1))</f>
        <v>1460</v>
      </c>
      <c r="J35" s="89">
        <f>INDEX('2. závod'!$A:$AE,$H35+3,INDEX('Základní list'!$B:$B,MATCH($G35,'Základní list'!$A:$A,0),1)+2)</f>
        <v>5</v>
      </c>
      <c r="K35" s="91" t="str">
        <f>INDEX('2. závod'!$A:$AE,$H35+3,INDEX('Základní list'!$B:$B,MATCH($G35,'Základní list'!$A:$A,0),1)-1)</f>
        <v>Štěpnička Radek</v>
      </c>
    </row>
    <row r="36" spans="1:11" ht="18" customHeight="1">
      <c r="A36" s="90">
        <v>34</v>
      </c>
      <c r="B36" s="94" t="s">
        <v>20</v>
      </c>
      <c r="C36" s="94">
        <v>4</v>
      </c>
      <c r="D36" s="89">
        <f>INDEX('1. závod'!$A:$AE,$C36+3,INDEX('Základní list'!$B:$B,MATCH($B36,'Základní list'!$A:$A,0),1))</f>
        <v>2740</v>
      </c>
      <c r="E36" s="89">
        <f>INDEX('1. závod'!$A:$AE,$C36+3,INDEX('Základní list'!$B:$B,MATCH($B36,'Základní list'!$A:$A,0),1)+2)</f>
        <v>4</v>
      </c>
      <c r="F36" s="91" t="str">
        <f>INDEX('1. závod'!$A:$AE,$C36+3,INDEX('Základní list'!$B:$B,MATCH($B36,'Základní list'!$A:$A,0),1)-1)</f>
        <v>Štěpnička Milan</v>
      </c>
      <c r="G36" s="94" t="s">
        <v>20</v>
      </c>
      <c r="H36" s="94">
        <v>4</v>
      </c>
      <c r="I36" s="89">
        <f>INDEX('2. závod'!$A:$AE,$H36+3,INDEX('Základní list'!$B:$B,MATCH($G36,'Základní list'!$A:$A,0),1))</f>
        <v>2460</v>
      </c>
      <c r="J36" s="89">
        <f>INDEX('2. závod'!$A:$AE,$H36+3,INDEX('Základní list'!$B:$B,MATCH($G36,'Základní list'!$A:$A,0),1)+2)</f>
        <v>3</v>
      </c>
      <c r="K36" s="91" t="str">
        <f>INDEX('2. závod'!$A:$AE,$H36+3,INDEX('Základní list'!$B:$B,MATCH($G36,'Základní list'!$A:$A,0),1)-1)</f>
        <v>Hrabal Vladimír</v>
      </c>
    </row>
    <row r="37" spans="1:11" ht="18" customHeight="1">
      <c r="A37" s="90">
        <v>35</v>
      </c>
      <c r="B37" s="94" t="s">
        <v>20</v>
      </c>
      <c r="C37" s="94">
        <v>5</v>
      </c>
      <c r="D37" s="89">
        <f>INDEX('1. závod'!$A:$AE,$C37+3,INDEX('Základní list'!$B:$B,MATCH($B37,'Základní list'!$A:$A,0),1))</f>
        <v>2700</v>
      </c>
      <c r="E37" s="89">
        <f>INDEX('1. závod'!$A:$AE,$C37+3,INDEX('Základní list'!$B:$B,MATCH($B37,'Základní list'!$A:$A,0),1)+2)</f>
        <v>5</v>
      </c>
      <c r="F37" s="91" t="str">
        <f>INDEX('1. závod'!$A:$AE,$C37+3,INDEX('Základní list'!$B:$B,MATCH($B37,'Základní list'!$A:$A,0),1)-1)</f>
        <v>Koubek František</v>
      </c>
      <c r="G37" s="94" t="s">
        <v>20</v>
      </c>
      <c r="H37" s="94">
        <v>5</v>
      </c>
      <c r="I37" s="89">
        <f>INDEX('2. závod'!$A:$AE,$H37+3,INDEX('Základní list'!$B:$B,MATCH($G37,'Základní list'!$A:$A,0),1))</f>
        <v>1420</v>
      </c>
      <c r="J37" s="89">
        <f>INDEX('2. závod'!$A:$AE,$H37+3,INDEX('Základní list'!$B:$B,MATCH($G37,'Základní list'!$A:$A,0),1)+2)</f>
        <v>6</v>
      </c>
      <c r="K37" s="91" t="str">
        <f>INDEX('2. závod'!$A:$AE,$H37+3,INDEX('Základní list'!$B:$B,MATCH($G37,'Základní list'!$A:$A,0),1)-1)</f>
        <v>Funda Petr</v>
      </c>
    </row>
    <row r="38" spans="1:11" ht="18" customHeight="1">
      <c r="A38" s="90">
        <v>36</v>
      </c>
      <c r="B38" s="94" t="s">
        <v>20</v>
      </c>
      <c r="C38" s="94">
        <v>6</v>
      </c>
      <c r="D38" s="89">
        <f>INDEX('1. závod'!$A:$AE,$C38+3,INDEX('Základní list'!$B:$B,MATCH($B38,'Základní list'!$A:$A,0),1))</f>
        <v>280</v>
      </c>
      <c r="E38" s="89">
        <f>INDEX('1. závod'!$A:$AE,$C38+3,INDEX('Základní list'!$B:$B,MATCH($B38,'Základní list'!$A:$A,0),1)+2)</f>
        <v>10</v>
      </c>
      <c r="F38" s="91" t="str">
        <f>INDEX('1. závod'!$A:$AE,$C38+3,INDEX('Základní list'!$B:$B,MATCH($B38,'Základní list'!$A:$A,0),1)-1)</f>
        <v>Malypetr Zdeněk ml.</v>
      </c>
      <c r="G38" s="94" t="s">
        <v>20</v>
      </c>
      <c r="H38" s="94">
        <v>6</v>
      </c>
      <c r="I38" s="89">
        <f>INDEX('2. závod'!$A:$AE,$H38+3,INDEX('Základní list'!$B:$B,MATCH($G38,'Základní list'!$A:$A,0),1))</f>
        <v>1040</v>
      </c>
      <c r="J38" s="89">
        <f>INDEX('2. závod'!$A:$AE,$H38+3,INDEX('Základní list'!$B:$B,MATCH($G38,'Základní list'!$A:$A,0),1)+2)</f>
        <v>7</v>
      </c>
      <c r="K38" s="91" t="str">
        <f>INDEX('2. závod'!$A:$AE,$H38+3,INDEX('Základní list'!$B:$B,MATCH($G38,'Základní list'!$A:$A,0),1)-1)</f>
        <v>Sofron Pavel</v>
      </c>
    </row>
    <row r="39" spans="1:11" ht="18" customHeight="1">
      <c r="A39" s="90">
        <v>37</v>
      </c>
      <c r="B39" s="94" t="s">
        <v>20</v>
      </c>
      <c r="C39" s="94">
        <v>7</v>
      </c>
      <c r="D39" s="89">
        <f>INDEX('1. závod'!$A:$AE,$C39+3,INDEX('Základní list'!$B:$B,MATCH($B39,'Základní list'!$A:$A,0),1))</f>
        <v>1760</v>
      </c>
      <c r="E39" s="89">
        <f>INDEX('1. závod'!$A:$AE,$C39+3,INDEX('Základní list'!$B:$B,MATCH($B39,'Základní list'!$A:$A,0),1)+2)</f>
        <v>8</v>
      </c>
      <c r="F39" s="91" t="str">
        <f>INDEX('1. závod'!$A:$AE,$C39+3,INDEX('Základní list'!$B:$B,MATCH($B39,'Základní list'!$A:$A,0),1)-1)</f>
        <v>Dohnal Josef</v>
      </c>
      <c r="G39" s="94" t="s">
        <v>20</v>
      </c>
      <c r="H39" s="94">
        <v>7</v>
      </c>
      <c r="I39" s="89">
        <f>INDEX('2. závod'!$A:$AE,$H39+3,INDEX('Základní list'!$B:$B,MATCH($G39,'Základní list'!$A:$A,0),1))</f>
        <v>2620</v>
      </c>
      <c r="J39" s="89">
        <f>INDEX('2. závod'!$A:$AE,$H39+3,INDEX('Základní list'!$B:$B,MATCH($G39,'Základní list'!$A:$A,0),1)+2)</f>
        <v>2</v>
      </c>
      <c r="K39" s="91" t="str">
        <f>INDEX('2. závod'!$A:$AE,$H39+3,INDEX('Základní list'!$B:$B,MATCH($G39,'Základní list'!$A:$A,0),1)-1)</f>
        <v>Vávra Jiří</v>
      </c>
    </row>
    <row r="40" spans="1:11" ht="18" customHeight="1">
      <c r="A40" s="90">
        <v>38</v>
      </c>
      <c r="B40" s="94" t="s">
        <v>20</v>
      </c>
      <c r="C40" s="94">
        <v>8</v>
      </c>
      <c r="D40" s="89">
        <f>INDEX('1. závod'!$A:$AE,$C40+3,INDEX('Základní list'!$B:$B,MATCH($B40,'Základní list'!$A:$A,0),1))</f>
        <v>6460</v>
      </c>
      <c r="E40" s="89">
        <f>INDEX('1. závod'!$A:$AE,$C40+3,INDEX('Základní list'!$B:$B,MATCH($B40,'Základní list'!$A:$A,0),1)+2)</f>
        <v>1</v>
      </c>
      <c r="F40" s="91" t="str">
        <f>INDEX('1. závod'!$A:$AE,$C40+3,INDEX('Základní list'!$B:$B,MATCH($B40,'Základní list'!$A:$A,0),1)-1)</f>
        <v>Ouředníček Jiří</v>
      </c>
      <c r="G40" s="94" t="s">
        <v>20</v>
      </c>
      <c r="H40" s="94">
        <v>8</v>
      </c>
      <c r="I40" s="89">
        <f>INDEX('2. závod'!$A:$AE,$H40+3,INDEX('Základní list'!$B:$B,MATCH($G40,'Základní list'!$A:$A,0),1))</f>
        <v>680</v>
      </c>
      <c r="J40" s="89">
        <f>INDEX('2. závod'!$A:$AE,$H40+3,INDEX('Základní list'!$B:$B,MATCH($G40,'Základní list'!$A:$A,0),1)+2)</f>
        <v>8</v>
      </c>
      <c r="K40" s="91" t="str">
        <f>INDEX('2. závod'!$A:$AE,$H40+3,INDEX('Základní list'!$B:$B,MATCH($G40,'Základní list'!$A:$A,0),1)-1)</f>
        <v>Kodýdek Jiří</v>
      </c>
    </row>
    <row r="41" spans="1:11" ht="18" customHeight="1">
      <c r="A41" s="90">
        <v>39</v>
      </c>
      <c r="B41" s="94" t="s">
        <v>20</v>
      </c>
      <c r="C41" s="94">
        <v>9</v>
      </c>
      <c r="D41" s="89">
        <f>INDEX('1. závod'!$A:$AE,$C41+3,INDEX('Základní list'!$B:$B,MATCH($B41,'Základní list'!$A:$A,0),1))</f>
        <v>2080</v>
      </c>
      <c r="E41" s="89">
        <f>INDEX('1. závod'!$A:$AE,$C41+3,INDEX('Základní list'!$B:$B,MATCH($B41,'Základní list'!$A:$A,0),1)+2)</f>
        <v>7</v>
      </c>
      <c r="F41" s="91" t="str">
        <f>INDEX('1. závod'!$A:$AE,$C41+3,INDEX('Základní list'!$B:$B,MATCH($B41,'Základní list'!$A:$A,0),1)-1)</f>
        <v>Šurgota Juraj</v>
      </c>
      <c r="G41" s="94" t="s">
        <v>20</v>
      </c>
      <c r="H41" s="94">
        <v>9</v>
      </c>
      <c r="I41" s="89">
        <f>INDEX('2. závod'!$A:$AE,$H41+3,INDEX('Základní list'!$B:$B,MATCH($G41,'Základní list'!$A:$A,0),1))</f>
        <v>2800</v>
      </c>
      <c r="J41" s="89">
        <f>INDEX('2. závod'!$A:$AE,$H41+3,INDEX('Základní list'!$B:$B,MATCH($G41,'Základní list'!$A:$A,0),1)+2)</f>
        <v>1</v>
      </c>
      <c r="K41" s="91" t="str">
        <f>INDEX('2. závod'!$A:$AE,$H41+3,INDEX('Základní list'!$B:$B,MATCH($G41,'Základní list'!$A:$A,0),1)-1)</f>
        <v>Vitásek Jiří</v>
      </c>
    </row>
    <row r="42" spans="1:11" ht="18" customHeight="1">
      <c r="A42" s="90">
        <v>40</v>
      </c>
      <c r="B42" s="94" t="s">
        <v>20</v>
      </c>
      <c r="C42" s="94">
        <v>10</v>
      </c>
      <c r="D42" s="89">
        <f>INDEX('1. závod'!$A:$AE,$C42+3,INDEX('Základní list'!$B:$B,MATCH($B42,'Základní list'!$A:$A,0),1))</f>
        <v>2980</v>
      </c>
      <c r="E42" s="89">
        <f>INDEX('1. závod'!$A:$AE,$C42+3,INDEX('Základní list'!$B:$B,MATCH($B42,'Základní list'!$A:$A,0),1)+2)</f>
        <v>3</v>
      </c>
      <c r="F42" s="91" t="str">
        <f>INDEX('1. závod'!$A:$AE,$C42+3,INDEX('Základní list'!$B:$B,MATCH($B42,'Základní list'!$A:$A,0),1)-1)</f>
        <v>Vávra Jiří</v>
      </c>
      <c r="G42" s="94" t="s">
        <v>20</v>
      </c>
      <c r="H42" s="94">
        <v>10</v>
      </c>
      <c r="I42" s="89">
        <f>INDEX('2. závod'!$A:$AE,$H42+3,INDEX('Základní list'!$B:$B,MATCH($G42,'Základní list'!$A:$A,0),1))</f>
        <v>520</v>
      </c>
      <c r="J42" s="89">
        <f>INDEX('2. závod'!$A:$AE,$H42+3,INDEX('Základní list'!$B:$B,MATCH($G42,'Základní list'!$A:$A,0),1)+2)</f>
        <v>10</v>
      </c>
      <c r="K42" s="91" t="str">
        <f>INDEX('2. závod'!$A:$AE,$H42+3,INDEX('Základní list'!$B:$B,MATCH($G42,'Základní list'!$A:$A,0),1)-1)</f>
        <v>Vitebský Jakub </v>
      </c>
    </row>
    <row r="43" spans="1:11" ht="18" customHeight="1">
      <c r="A43" s="90">
        <v>41</v>
      </c>
      <c r="B43" s="94" t="s">
        <v>21</v>
      </c>
      <c r="C43" s="94">
        <v>1</v>
      </c>
      <c r="D43" s="89">
        <f>INDEX('1. závod'!$A:$AE,$C43+3,INDEX('Základní list'!$B:$B,MATCH($B43,'Základní list'!$A:$A,0),1))</f>
        <v>860</v>
      </c>
      <c r="E43" s="89">
        <f>INDEX('1. závod'!$A:$AE,$C43+3,INDEX('Základní list'!$B:$B,MATCH($B43,'Základní list'!$A:$A,0),1)+2)</f>
        <v>6</v>
      </c>
      <c r="F43" s="91" t="str">
        <f>INDEX('1. závod'!$A:$AE,$C43+3,INDEX('Základní list'!$B:$B,MATCH($B43,'Základní list'!$A:$A,0),1)-1)</f>
        <v>Sičák Pavel</v>
      </c>
      <c r="G43" s="94" t="s">
        <v>21</v>
      </c>
      <c r="H43" s="94">
        <v>1</v>
      </c>
      <c r="I43" s="89">
        <f>INDEX('2. závod'!$A:$AE,$H43+3,INDEX('Základní list'!$B:$B,MATCH($G43,'Základní list'!$A:$A,0),1))</f>
        <v>880</v>
      </c>
      <c r="J43" s="89">
        <f>INDEX('2. závod'!$A:$AE,$H43+3,INDEX('Základní list'!$B:$B,MATCH($G43,'Základní list'!$A:$A,0),1)+2)</f>
        <v>8</v>
      </c>
      <c r="K43" s="91" t="str">
        <f>INDEX('2. závod'!$A:$AE,$H43+3,INDEX('Základní list'!$B:$B,MATCH($G43,'Základní list'!$A:$A,0),1)-1)</f>
        <v>Janiš Jiří</v>
      </c>
    </row>
    <row r="44" spans="1:11" ht="18" customHeight="1">
      <c r="A44" s="90">
        <v>42</v>
      </c>
      <c r="B44" s="94" t="s">
        <v>21</v>
      </c>
      <c r="C44" s="94">
        <v>2</v>
      </c>
      <c r="D44" s="89">
        <f>INDEX('1. závod'!$A:$AE,$C44+3,INDEX('Základní list'!$B:$B,MATCH($B44,'Základní list'!$A:$A,0),1))</f>
        <v>2960</v>
      </c>
      <c r="E44" s="89">
        <f>INDEX('1. závod'!$A:$AE,$C44+3,INDEX('Základní list'!$B:$B,MATCH($B44,'Základní list'!$A:$A,0),1)+2)</f>
        <v>1</v>
      </c>
      <c r="F44" s="91" t="str">
        <f>INDEX('1. závod'!$A:$AE,$C44+3,INDEX('Základní list'!$B:$B,MATCH($B44,'Základní list'!$A:$A,0),1)-1)</f>
        <v>Havlíček Petr</v>
      </c>
      <c r="G44" s="94" t="s">
        <v>21</v>
      </c>
      <c r="H44" s="94">
        <v>2</v>
      </c>
      <c r="I44" s="89">
        <f>INDEX('2. závod'!$A:$AE,$H44+3,INDEX('Základní list'!$B:$B,MATCH($G44,'Základní list'!$A:$A,0),1))</f>
        <v>3640</v>
      </c>
      <c r="J44" s="89">
        <f>INDEX('2. závod'!$A:$AE,$H44+3,INDEX('Základní list'!$B:$B,MATCH($G44,'Základní list'!$A:$A,0),1)+2)</f>
        <v>1</v>
      </c>
      <c r="K44" s="91" t="str">
        <f>INDEX('2. závod'!$A:$AE,$H44+3,INDEX('Základní list'!$B:$B,MATCH($G44,'Základní list'!$A:$A,0),1)-1)</f>
        <v>Tychler Milan</v>
      </c>
    </row>
    <row r="45" spans="1:11" ht="18" customHeight="1">
      <c r="A45" s="90">
        <v>43</v>
      </c>
      <c r="B45" s="94" t="s">
        <v>21</v>
      </c>
      <c r="C45" s="94">
        <v>3</v>
      </c>
      <c r="D45" s="89">
        <f>INDEX('1. závod'!$A:$AE,$C45+3,INDEX('Základní list'!$B:$B,MATCH($B45,'Základní list'!$A:$A,0),1))</f>
        <v>580</v>
      </c>
      <c r="E45" s="89">
        <f>INDEX('1. závod'!$A:$AE,$C45+3,INDEX('Základní list'!$B:$B,MATCH($B45,'Základní list'!$A:$A,0),1)+2)</f>
        <v>8</v>
      </c>
      <c r="F45" s="91" t="str">
        <f>INDEX('1. závod'!$A:$AE,$C45+3,INDEX('Základní list'!$B:$B,MATCH($B45,'Základní list'!$A:$A,0),1)-1)</f>
        <v>Konopásek Jaroslav </v>
      </c>
      <c r="G45" s="94" t="s">
        <v>21</v>
      </c>
      <c r="H45" s="94">
        <v>3</v>
      </c>
      <c r="I45" s="89">
        <f>INDEX('2. závod'!$A:$AE,$H45+3,INDEX('Základní list'!$B:$B,MATCH($G45,'Základní list'!$A:$A,0),1))</f>
        <v>1600</v>
      </c>
      <c r="J45" s="89">
        <f>INDEX('2. závod'!$A:$AE,$H45+3,INDEX('Základní list'!$B:$B,MATCH($G45,'Základní list'!$A:$A,0),1)+2)</f>
        <v>6</v>
      </c>
      <c r="K45" s="91" t="str">
        <f>INDEX('2. závod'!$A:$AE,$H45+3,INDEX('Základní list'!$B:$B,MATCH($G45,'Základní list'!$A:$A,0),1)-1)</f>
        <v>Chalupa Ladislav</v>
      </c>
    </row>
    <row r="46" spans="1:11" ht="18" customHeight="1">
      <c r="A46" s="90">
        <v>44</v>
      </c>
      <c r="B46" s="94" t="s">
        <v>21</v>
      </c>
      <c r="C46" s="94">
        <v>4</v>
      </c>
      <c r="D46" s="89">
        <f>INDEX('1. závod'!$A:$AE,$C46+3,INDEX('Základní list'!$B:$B,MATCH($B46,'Základní list'!$A:$A,0),1))</f>
        <v>1840</v>
      </c>
      <c r="E46" s="89">
        <f>INDEX('1. závod'!$A:$AE,$C46+3,INDEX('Základní list'!$B:$B,MATCH($B46,'Základní list'!$A:$A,0),1)+2)</f>
        <v>3</v>
      </c>
      <c r="F46" s="91" t="str">
        <f>INDEX('1. závod'!$A:$AE,$C46+3,INDEX('Základní list'!$B:$B,MATCH($B46,'Základní list'!$A:$A,0),1)-1)</f>
        <v>Douša Jan</v>
      </c>
      <c r="G46" s="94" t="s">
        <v>21</v>
      </c>
      <c r="H46" s="94">
        <v>4</v>
      </c>
      <c r="I46" s="89">
        <f>INDEX('2. závod'!$A:$AE,$H46+3,INDEX('Základní list'!$B:$B,MATCH($G46,'Základní list'!$A:$A,0),1))</f>
        <v>1000</v>
      </c>
      <c r="J46" s="89">
        <f>INDEX('2. závod'!$A:$AE,$H46+3,INDEX('Základní list'!$B:$B,MATCH($G46,'Základní list'!$A:$A,0),1)+2)</f>
        <v>7</v>
      </c>
      <c r="K46" s="91" t="str">
        <f>INDEX('2. závod'!$A:$AE,$H46+3,INDEX('Základní list'!$B:$B,MATCH($G46,'Základní list'!$A:$A,0),1)-1)</f>
        <v>Pavelka Viktor</v>
      </c>
    </row>
    <row r="47" spans="1:11" ht="18" customHeight="1">
      <c r="A47" s="90">
        <v>45</v>
      </c>
      <c r="B47" s="94" t="s">
        <v>21</v>
      </c>
      <c r="C47" s="94">
        <v>5</v>
      </c>
      <c r="D47" s="89">
        <f>INDEX('1. závod'!$A:$AE,$C47+3,INDEX('Základní list'!$B:$B,MATCH($B47,'Základní list'!$A:$A,0),1))</f>
        <v>1820</v>
      </c>
      <c r="E47" s="89">
        <f>INDEX('1. závod'!$A:$AE,$C47+3,INDEX('Základní list'!$B:$B,MATCH($B47,'Základní list'!$A:$A,0),1)+2)</f>
        <v>4</v>
      </c>
      <c r="F47" s="91" t="str">
        <f>INDEX('1. závod'!$A:$AE,$C47+3,INDEX('Základní list'!$B:$B,MATCH($B47,'Základní list'!$A:$A,0),1)-1)</f>
        <v>Kabourek Václav</v>
      </c>
      <c r="G47" s="94" t="s">
        <v>21</v>
      </c>
      <c r="H47" s="94">
        <v>5</v>
      </c>
      <c r="I47" s="89">
        <f>INDEX('2. závod'!$A:$AE,$H47+3,INDEX('Základní list'!$B:$B,MATCH($G47,'Základní list'!$A:$A,0),1))</f>
        <v>240</v>
      </c>
      <c r="J47" s="89">
        <f>INDEX('2. závod'!$A:$AE,$H47+3,INDEX('Základní list'!$B:$B,MATCH($G47,'Základní list'!$A:$A,0),1)+2)</f>
        <v>10</v>
      </c>
      <c r="K47" s="91" t="str">
        <f>INDEX('2. závod'!$A:$AE,$H47+3,INDEX('Základní list'!$B:$B,MATCH($G47,'Základní list'!$A:$A,0),1)-1)</f>
        <v>Popadinec Richard</v>
      </c>
    </row>
    <row r="48" spans="1:11" ht="18" customHeight="1">
      <c r="A48" s="90">
        <v>46</v>
      </c>
      <c r="B48" s="94" t="s">
        <v>21</v>
      </c>
      <c r="C48" s="94">
        <v>6</v>
      </c>
      <c r="D48" s="89">
        <f>INDEX('1. závod'!$A:$AE,$C48+3,INDEX('Základní list'!$B:$B,MATCH($B48,'Základní list'!$A:$A,0),1))</f>
        <v>780</v>
      </c>
      <c r="E48" s="89">
        <f>INDEX('1. závod'!$A:$AE,$C48+3,INDEX('Základní list'!$B:$B,MATCH($B48,'Základní list'!$A:$A,0),1)+2)</f>
        <v>7</v>
      </c>
      <c r="F48" s="91" t="str">
        <f>INDEX('1. závod'!$A:$AE,$C48+3,INDEX('Základní list'!$B:$B,MATCH($B48,'Základní list'!$A:$A,0),1)-1)</f>
        <v>Kuchař Petr</v>
      </c>
      <c r="G48" s="94" t="s">
        <v>21</v>
      </c>
      <c r="H48" s="94">
        <v>6</v>
      </c>
      <c r="I48" s="89">
        <f>INDEX('2. závod'!$A:$AE,$H48+3,INDEX('Základní list'!$B:$B,MATCH($G48,'Základní list'!$A:$A,0),1))</f>
        <v>2340</v>
      </c>
      <c r="J48" s="89">
        <f>INDEX('2. závod'!$A:$AE,$H48+3,INDEX('Základní list'!$B:$B,MATCH($G48,'Základní list'!$A:$A,0),1)+2)</f>
        <v>5</v>
      </c>
      <c r="K48" s="91" t="str">
        <f>INDEX('2. závod'!$A:$AE,$H48+3,INDEX('Základní list'!$B:$B,MATCH($G48,'Základní list'!$A:$A,0),1)-1)</f>
        <v>Janečka Martin</v>
      </c>
    </row>
    <row r="49" spans="1:11" ht="18" customHeight="1">
      <c r="A49" s="90">
        <v>47</v>
      </c>
      <c r="B49" s="94" t="s">
        <v>21</v>
      </c>
      <c r="C49" s="94">
        <v>7</v>
      </c>
      <c r="D49" s="89">
        <f>INDEX('1. závod'!$A:$AE,$C49+3,INDEX('Základní list'!$B:$B,MATCH($B49,'Základní list'!$A:$A,0),1))</f>
        <v>40</v>
      </c>
      <c r="E49" s="89">
        <f>INDEX('1. závod'!$A:$AE,$C49+3,INDEX('Základní list'!$B:$B,MATCH($B49,'Základní list'!$A:$A,0),1)+2)</f>
        <v>10</v>
      </c>
      <c r="F49" s="91" t="str">
        <f>INDEX('1. závod'!$A:$AE,$C49+3,INDEX('Základní list'!$B:$B,MATCH($B49,'Základní list'!$A:$A,0),1)-1)</f>
        <v>Malypetr Zdeněk</v>
      </c>
      <c r="G49" s="94" t="s">
        <v>21</v>
      </c>
      <c r="H49" s="94">
        <v>7</v>
      </c>
      <c r="I49" s="89">
        <f>INDEX('2. závod'!$A:$AE,$H49+3,INDEX('Základní list'!$B:$B,MATCH($G49,'Základní list'!$A:$A,0),1))</f>
        <v>2820</v>
      </c>
      <c r="J49" s="89">
        <f>INDEX('2. závod'!$A:$AE,$H49+3,INDEX('Základní list'!$B:$B,MATCH($G49,'Základní list'!$A:$A,0),1)+2)</f>
        <v>3</v>
      </c>
      <c r="K49" s="91" t="str">
        <f>INDEX('2. závod'!$A:$AE,$H49+3,INDEX('Základní list'!$B:$B,MATCH($G49,'Základní list'!$A:$A,0),1)-1)</f>
        <v>Tóth Petr</v>
      </c>
    </row>
    <row r="50" spans="1:11" ht="18" customHeight="1">
      <c r="A50" s="90">
        <v>48</v>
      </c>
      <c r="B50" s="94" t="s">
        <v>21</v>
      </c>
      <c r="C50" s="94">
        <v>8</v>
      </c>
      <c r="D50" s="89">
        <f>INDEX('1. závod'!$A:$AE,$C50+3,INDEX('Základní list'!$B:$B,MATCH($B50,'Základní list'!$A:$A,0),1))</f>
        <v>180</v>
      </c>
      <c r="E50" s="89">
        <f>INDEX('1. závod'!$A:$AE,$C50+3,INDEX('Základní list'!$B:$B,MATCH($B50,'Základní list'!$A:$A,0),1)+2)</f>
        <v>9</v>
      </c>
      <c r="F50" s="91" t="str">
        <f>INDEX('1. závod'!$A:$AE,$C50+3,INDEX('Základní list'!$B:$B,MATCH($B50,'Základní list'!$A:$A,0),1)-1)</f>
        <v>Panocha Josef</v>
      </c>
      <c r="G50" s="94" t="s">
        <v>21</v>
      </c>
      <c r="H50" s="94">
        <v>8</v>
      </c>
      <c r="I50" s="89">
        <f>INDEX('2. závod'!$A:$AE,$H50+3,INDEX('Základní list'!$B:$B,MATCH($G50,'Základní list'!$A:$A,0),1))</f>
        <v>2700</v>
      </c>
      <c r="J50" s="89">
        <f>INDEX('2. závod'!$A:$AE,$H50+3,INDEX('Základní list'!$B:$B,MATCH($G50,'Základní list'!$A:$A,0),1)+2)</f>
        <v>4</v>
      </c>
      <c r="K50" s="91" t="str">
        <f>INDEX('2. závod'!$A:$AE,$H50+3,INDEX('Základní list'!$B:$B,MATCH($G50,'Základní list'!$A:$A,0),1)-1)</f>
        <v>Hanousek Václav</v>
      </c>
    </row>
    <row r="51" spans="1:11" ht="18" customHeight="1">
      <c r="A51" s="90">
        <v>49</v>
      </c>
      <c r="B51" s="94" t="s">
        <v>21</v>
      </c>
      <c r="C51" s="94">
        <v>9</v>
      </c>
      <c r="D51" s="89">
        <f>INDEX('1. závod'!$A:$AE,$C51+3,INDEX('Základní list'!$B:$B,MATCH($B51,'Základní list'!$A:$A,0),1))</f>
        <v>1180</v>
      </c>
      <c r="E51" s="89">
        <f>INDEX('1. závod'!$A:$AE,$C51+3,INDEX('Základní list'!$B:$B,MATCH($B51,'Základní list'!$A:$A,0),1)+2)</f>
        <v>5</v>
      </c>
      <c r="F51" s="91" t="str">
        <f>INDEX('1. závod'!$A:$AE,$C51+3,INDEX('Základní list'!$B:$B,MATCH($B51,'Základní list'!$A:$A,0),1)-1)</f>
        <v>Janiš Jiří</v>
      </c>
      <c r="G51" s="94" t="s">
        <v>21</v>
      </c>
      <c r="H51" s="94">
        <v>9</v>
      </c>
      <c r="I51" s="89">
        <f>INDEX('2. závod'!$A:$AE,$H51+3,INDEX('Základní list'!$B:$B,MATCH($G51,'Základní list'!$A:$A,0),1))</f>
        <v>840</v>
      </c>
      <c r="J51" s="89">
        <f>INDEX('2. závod'!$A:$AE,$H51+3,INDEX('Základní list'!$B:$B,MATCH($G51,'Základní list'!$A:$A,0),1)+2)</f>
        <v>9</v>
      </c>
      <c r="K51" s="91" t="str">
        <f>INDEX('2. závod'!$A:$AE,$H51+3,INDEX('Základní list'!$B:$B,MATCH($G51,'Základní list'!$A:$A,0),1)-1)</f>
        <v>Reiser Petr</v>
      </c>
    </row>
    <row r="52" spans="1:11" ht="18" customHeight="1">
      <c r="A52" s="90">
        <v>50</v>
      </c>
      <c r="B52" s="94" t="s">
        <v>21</v>
      </c>
      <c r="C52" s="94">
        <v>10</v>
      </c>
      <c r="D52" s="89">
        <f>INDEX('1. závod'!$A:$AE,$C52+3,INDEX('Základní list'!$B:$B,MATCH($B52,'Základní list'!$A:$A,0),1))</f>
        <v>1960</v>
      </c>
      <c r="E52" s="89">
        <f>INDEX('1. závod'!$A:$AE,$C52+3,INDEX('Základní list'!$B:$B,MATCH($B52,'Základní list'!$A:$A,0),1)+2)</f>
        <v>2</v>
      </c>
      <c r="F52" s="91" t="str">
        <f>INDEX('1. závod'!$A:$AE,$C52+3,INDEX('Základní list'!$B:$B,MATCH($B52,'Základní list'!$A:$A,0),1)-1)</f>
        <v>Sládek Petr</v>
      </c>
      <c r="G52" s="94" t="s">
        <v>21</v>
      </c>
      <c r="H52" s="94">
        <v>10</v>
      </c>
      <c r="I52" s="89">
        <f>INDEX('2. závod'!$A:$AE,$H52+3,INDEX('Základní list'!$B:$B,MATCH($G52,'Základní list'!$A:$A,0),1))</f>
        <v>3060</v>
      </c>
      <c r="J52" s="89">
        <f>INDEX('2. závod'!$A:$AE,$H52+3,INDEX('Základní list'!$B:$B,MATCH($G52,'Základní list'!$A:$A,0),1)+2)</f>
        <v>2</v>
      </c>
      <c r="K52" s="91" t="str">
        <f>INDEX('2. závod'!$A:$AE,$H52+3,INDEX('Základní list'!$B:$B,MATCH($G52,'Základní list'!$A:$A,0),1)-1)</f>
        <v>Srb Roman</v>
      </c>
    </row>
    <row r="53" spans="1:11" ht="18" customHeight="1">
      <c r="A53" s="90">
        <v>51</v>
      </c>
      <c r="B53" s="94" t="s">
        <v>24</v>
      </c>
      <c r="C53" s="94">
        <v>1</v>
      </c>
      <c r="D53" s="89">
        <f>INDEX('1. závod'!$A:$AE,$C53+3,INDEX('Základní list'!$B:$B,MATCH($B53,'Základní list'!$A:$A,0),1))</f>
        <v>2280</v>
      </c>
      <c r="E53" s="89">
        <f>INDEX('1. závod'!$A:$AE,$C53+3,INDEX('Základní list'!$B:$B,MATCH($B53,'Základní list'!$A:$A,0),1)+2)</f>
        <v>4</v>
      </c>
      <c r="F53" s="91" t="str">
        <f>INDEX('1. závod'!$A:$AE,$C53+3,INDEX('Základní list'!$B:$B,MATCH($B53,'Základní list'!$A:$A,0),1)-1)</f>
        <v>Krýsl Pavel</v>
      </c>
      <c r="G53" s="94" t="s">
        <v>24</v>
      </c>
      <c r="H53" s="94">
        <v>1</v>
      </c>
      <c r="I53" s="89">
        <f>INDEX('2. závod'!$A:$AE,$H53+3,INDEX('Základní list'!$B:$B,MATCH($G53,'Základní list'!$A:$A,0),1))</f>
        <v>1960</v>
      </c>
      <c r="J53" s="89">
        <f>INDEX('2. závod'!$A:$AE,$H53+3,INDEX('Základní list'!$B:$B,MATCH($G53,'Základní list'!$A:$A,0),1)+2)</f>
        <v>4</v>
      </c>
      <c r="K53" s="91" t="str">
        <f>INDEX('2. závod'!$A:$AE,$H53+3,INDEX('Základní list'!$B:$B,MATCH($G53,'Základní list'!$A:$A,0),1)-1)</f>
        <v>Juřík Milan</v>
      </c>
    </row>
    <row r="54" spans="1:11" ht="18" customHeight="1">
      <c r="A54" s="90">
        <v>52</v>
      </c>
      <c r="B54" s="94" t="s">
        <v>24</v>
      </c>
      <c r="C54" s="94">
        <v>2</v>
      </c>
      <c r="D54" s="89">
        <f>INDEX('1. závod'!$A:$AE,$C54+3,INDEX('Základní list'!$B:$B,MATCH($B54,'Základní list'!$A:$A,0),1))</f>
        <v>2340</v>
      </c>
      <c r="E54" s="89">
        <f>INDEX('1. závod'!$A:$AE,$C54+3,INDEX('Základní list'!$B:$B,MATCH($B54,'Základní list'!$A:$A,0),1)+2)</f>
        <v>3</v>
      </c>
      <c r="F54" s="91" t="str">
        <f>INDEX('1. závod'!$A:$AE,$C54+3,INDEX('Základní list'!$B:$B,MATCH($B54,'Základní list'!$A:$A,0),1)-1)</f>
        <v>Hrabal Vladimír</v>
      </c>
      <c r="G54" s="94" t="s">
        <v>24</v>
      </c>
      <c r="H54" s="94">
        <v>2</v>
      </c>
      <c r="I54" s="89">
        <f>INDEX('2. závod'!$A:$AE,$H54+3,INDEX('Základní list'!$B:$B,MATCH($G54,'Základní list'!$A:$A,0),1))</f>
        <v>1460</v>
      </c>
      <c r="J54" s="89">
        <f>INDEX('2. závod'!$A:$AE,$H54+3,INDEX('Základní list'!$B:$B,MATCH($G54,'Základní list'!$A:$A,0),1)+2)</f>
        <v>5</v>
      </c>
      <c r="K54" s="91" t="str">
        <f>INDEX('2. závod'!$A:$AE,$H54+3,INDEX('Základní list'!$B:$B,MATCH($G54,'Základní list'!$A:$A,0),1)-1)</f>
        <v>Tůma David</v>
      </c>
    </row>
    <row r="55" spans="1:11" ht="18" customHeight="1">
      <c r="A55" s="90">
        <v>53</v>
      </c>
      <c r="B55" s="94" t="s">
        <v>24</v>
      </c>
      <c r="C55" s="94">
        <v>3</v>
      </c>
      <c r="D55" s="89">
        <f>INDEX('1. závod'!$A:$AE,$C55+3,INDEX('Základní list'!$B:$B,MATCH($B55,'Základní list'!$A:$A,0),1))</f>
        <v>560</v>
      </c>
      <c r="E55" s="89">
        <f>INDEX('1. závod'!$A:$AE,$C55+3,INDEX('Základní list'!$B:$B,MATCH($B55,'Základní list'!$A:$A,0),1)+2)</f>
        <v>9</v>
      </c>
      <c r="F55" s="91" t="str">
        <f>INDEX('1. závod'!$A:$AE,$C55+3,INDEX('Základní list'!$B:$B,MATCH($B55,'Základní list'!$A:$A,0),1)-1)</f>
        <v>Baranka Vladimír</v>
      </c>
      <c r="G55" s="94" t="s">
        <v>24</v>
      </c>
      <c r="H55" s="94">
        <v>3</v>
      </c>
      <c r="I55" s="89">
        <f>INDEX('2. závod'!$A:$AE,$H55+3,INDEX('Základní list'!$B:$B,MATCH($G55,'Základní list'!$A:$A,0),1))</f>
        <v>220</v>
      </c>
      <c r="J55" s="89">
        <f>INDEX('2. závod'!$A:$AE,$H55+3,INDEX('Základní list'!$B:$B,MATCH($G55,'Základní list'!$A:$A,0),1)+2)</f>
        <v>9.5</v>
      </c>
      <c r="K55" s="91" t="str">
        <f>INDEX('2. závod'!$A:$AE,$H55+3,INDEX('Základní list'!$B:$B,MATCH($G55,'Základní list'!$A:$A,0),1)-1)</f>
        <v>Kříž Petr</v>
      </c>
    </row>
    <row r="56" spans="1:11" ht="18" customHeight="1">
      <c r="A56" s="90">
        <v>54</v>
      </c>
      <c r="B56" s="94" t="s">
        <v>24</v>
      </c>
      <c r="C56" s="94">
        <v>4</v>
      </c>
      <c r="D56" s="89">
        <f>INDEX('1. závod'!$A:$AE,$C56+3,INDEX('Základní list'!$B:$B,MATCH($B56,'Základní list'!$A:$A,0),1))</f>
        <v>600</v>
      </c>
      <c r="E56" s="89">
        <f>INDEX('1. závod'!$A:$AE,$C56+3,INDEX('Základní list'!$B:$B,MATCH($B56,'Základní list'!$A:$A,0),1)+2)</f>
        <v>8</v>
      </c>
      <c r="F56" s="91" t="str">
        <f>INDEX('1. závod'!$A:$AE,$C56+3,INDEX('Základní list'!$B:$B,MATCH($B56,'Základní list'!$A:$A,0),1)-1)</f>
        <v>Goda Jan</v>
      </c>
      <c r="G56" s="94" t="s">
        <v>24</v>
      </c>
      <c r="H56" s="94">
        <v>4</v>
      </c>
      <c r="I56" s="89">
        <f>INDEX('2. závod'!$A:$AE,$H56+3,INDEX('Základní list'!$B:$B,MATCH($G56,'Základní list'!$A:$A,0),1))</f>
        <v>3760</v>
      </c>
      <c r="J56" s="89">
        <f>INDEX('2. závod'!$A:$AE,$H56+3,INDEX('Základní list'!$B:$B,MATCH($G56,'Základní list'!$A:$A,0),1)+2)</f>
        <v>1</v>
      </c>
      <c r="K56" s="91" t="str">
        <f>INDEX('2. závod'!$A:$AE,$H56+3,INDEX('Základní list'!$B:$B,MATCH($G56,'Základní list'!$A:$A,0),1)-1)</f>
        <v>Ouředníček Jiří</v>
      </c>
    </row>
    <row r="57" spans="1:11" ht="18" customHeight="1">
      <c r="A57" s="90">
        <v>55</v>
      </c>
      <c r="B57" s="94" t="s">
        <v>24</v>
      </c>
      <c r="C57" s="94">
        <v>5</v>
      </c>
      <c r="D57" s="89">
        <f>INDEX('1. závod'!$A:$AE,$C57+3,INDEX('Základní list'!$B:$B,MATCH($B57,'Základní list'!$A:$A,0),1))</f>
        <v>3480</v>
      </c>
      <c r="E57" s="89">
        <f>INDEX('1. závod'!$A:$AE,$C57+3,INDEX('Základní list'!$B:$B,MATCH($B57,'Základní list'!$A:$A,0),1)+2)</f>
        <v>1</v>
      </c>
      <c r="F57" s="91" t="str">
        <f>INDEX('1. závod'!$A:$AE,$C57+3,INDEX('Základní list'!$B:$B,MATCH($B57,'Základní list'!$A:$A,0),1)-1)</f>
        <v>Chalupa Ladislav</v>
      </c>
      <c r="G57" s="94" t="s">
        <v>24</v>
      </c>
      <c r="H57" s="94">
        <v>5</v>
      </c>
      <c r="I57" s="89">
        <f>INDEX('2. závod'!$A:$AE,$H57+3,INDEX('Základní list'!$B:$B,MATCH($G57,'Základní list'!$A:$A,0),1))</f>
        <v>2940</v>
      </c>
      <c r="J57" s="89">
        <f>INDEX('2. závod'!$A:$AE,$H57+3,INDEX('Základní list'!$B:$B,MATCH($G57,'Základní list'!$A:$A,0),1)+2)</f>
        <v>2</v>
      </c>
      <c r="K57" s="91" t="str">
        <f>INDEX('2. závod'!$A:$AE,$H57+3,INDEX('Základní list'!$B:$B,MATCH($G57,'Základní list'!$A:$A,0),1)-1)</f>
        <v>Kasl Luboš</v>
      </c>
    </row>
    <row r="58" spans="1:11" ht="18" customHeight="1">
      <c r="A58" s="90">
        <v>56</v>
      </c>
      <c r="B58" s="94" t="s">
        <v>24</v>
      </c>
      <c r="C58" s="94">
        <v>6</v>
      </c>
      <c r="D58" s="89">
        <f>INDEX('1. závod'!$A:$AE,$C58+3,INDEX('Základní list'!$B:$B,MATCH($B58,'Základní list'!$A:$A,0),1))</f>
        <v>3280</v>
      </c>
      <c r="E58" s="89">
        <f>INDEX('1. závod'!$A:$AE,$C58+3,INDEX('Základní list'!$B:$B,MATCH($B58,'Základní list'!$A:$A,0),1)+2)</f>
        <v>2</v>
      </c>
      <c r="F58" s="91" t="str">
        <f>INDEX('1. závod'!$A:$AE,$C58+3,INDEX('Základní list'!$B:$B,MATCH($B58,'Základní list'!$A:$A,0),1)-1)</f>
        <v>Sofron Pavel</v>
      </c>
      <c r="G58" s="94" t="s">
        <v>24</v>
      </c>
      <c r="H58" s="94">
        <v>6</v>
      </c>
      <c r="I58" s="89">
        <f>INDEX('2. závod'!$A:$AE,$H58+3,INDEX('Základní list'!$B:$B,MATCH($G58,'Základní list'!$A:$A,0),1))</f>
        <v>220</v>
      </c>
      <c r="J58" s="89">
        <f>INDEX('2. závod'!$A:$AE,$H58+3,INDEX('Základní list'!$B:$B,MATCH($G58,'Základní list'!$A:$A,0),1)+2)</f>
        <v>9.5</v>
      </c>
      <c r="K58" s="91" t="str">
        <f>INDEX('2. závod'!$A:$AE,$H58+3,INDEX('Základní list'!$B:$B,MATCH($G58,'Základní list'!$A:$A,0),1)-1)</f>
        <v>Kocián Oldřich</v>
      </c>
    </row>
    <row r="59" spans="1:11" ht="18" customHeight="1">
      <c r="A59" s="90">
        <v>57</v>
      </c>
      <c r="B59" s="94" t="s">
        <v>24</v>
      </c>
      <c r="C59" s="94">
        <v>7</v>
      </c>
      <c r="D59" s="89">
        <f>INDEX('1. závod'!$A:$AE,$C59+3,INDEX('Základní list'!$B:$B,MATCH($B59,'Základní list'!$A:$A,0),1))</f>
        <v>300</v>
      </c>
      <c r="E59" s="89">
        <f>INDEX('1. závod'!$A:$AE,$C59+3,INDEX('Základní list'!$B:$B,MATCH($B59,'Základní list'!$A:$A,0),1)+2)</f>
        <v>10</v>
      </c>
      <c r="F59" s="91" t="str">
        <f>INDEX('1. závod'!$A:$AE,$C59+3,INDEX('Základní list'!$B:$B,MATCH($B59,'Základní list'!$A:$A,0),1)-1)</f>
        <v>Karásek Pavel</v>
      </c>
      <c r="G59" s="94" t="s">
        <v>24</v>
      </c>
      <c r="H59" s="94">
        <v>7</v>
      </c>
      <c r="I59" s="89">
        <f>INDEX('2. závod'!$A:$AE,$H59+3,INDEX('Základní list'!$B:$B,MATCH($G59,'Základní list'!$A:$A,0),1))</f>
        <v>780</v>
      </c>
      <c r="J59" s="89">
        <f>INDEX('2. závod'!$A:$AE,$H59+3,INDEX('Základní list'!$B:$B,MATCH($G59,'Základní list'!$A:$A,0),1)+2)</f>
        <v>7</v>
      </c>
      <c r="K59" s="91" t="str">
        <f>INDEX('2. závod'!$A:$AE,$H59+3,INDEX('Základní list'!$B:$B,MATCH($G59,'Základní list'!$A:$A,0),1)-1)</f>
        <v>Štěpnička Milan</v>
      </c>
    </row>
    <row r="60" spans="1:11" ht="18" customHeight="1">
      <c r="A60" s="90">
        <v>58</v>
      </c>
      <c r="B60" s="94" t="s">
        <v>24</v>
      </c>
      <c r="C60" s="94">
        <v>8</v>
      </c>
      <c r="D60" s="89">
        <f>INDEX('1. závod'!$A:$AE,$C60+3,INDEX('Základní list'!$B:$B,MATCH($B60,'Základní list'!$A:$A,0),1))</f>
        <v>1600</v>
      </c>
      <c r="E60" s="89">
        <f>INDEX('1. závod'!$A:$AE,$C60+3,INDEX('Základní list'!$B:$B,MATCH($B60,'Základní list'!$A:$A,0),1)+2)</f>
        <v>6</v>
      </c>
      <c r="F60" s="91" t="str">
        <f>INDEX('1. závod'!$A:$AE,$C60+3,INDEX('Základní list'!$B:$B,MATCH($B60,'Základní list'!$A:$A,0),1)-1)</f>
        <v>Peřina Josef</v>
      </c>
      <c r="G60" s="94" t="s">
        <v>24</v>
      </c>
      <c r="H60" s="94">
        <v>8</v>
      </c>
      <c r="I60" s="89">
        <f>INDEX('2. závod'!$A:$AE,$H60+3,INDEX('Základní list'!$B:$B,MATCH($G60,'Základní list'!$A:$A,0),1))</f>
        <v>2640</v>
      </c>
      <c r="J60" s="89">
        <f>INDEX('2. závod'!$A:$AE,$H60+3,INDEX('Základní list'!$B:$B,MATCH($G60,'Základní list'!$A:$A,0),1)+2)</f>
        <v>3</v>
      </c>
      <c r="K60" s="91" t="str">
        <f>INDEX('2. závod'!$A:$AE,$H60+3,INDEX('Základní list'!$B:$B,MATCH($G60,'Základní list'!$A:$A,0),1)-1)</f>
        <v>Smutný Jiří</v>
      </c>
    </row>
    <row r="61" spans="1:11" ht="18" customHeight="1">
      <c r="A61" s="90">
        <v>59</v>
      </c>
      <c r="B61" s="94" t="s">
        <v>24</v>
      </c>
      <c r="C61" s="94">
        <v>9</v>
      </c>
      <c r="D61" s="89">
        <f>INDEX('1. závod'!$A:$AE,$C61+3,INDEX('Základní list'!$B:$B,MATCH($B61,'Základní list'!$A:$A,0),1))</f>
        <v>660</v>
      </c>
      <c r="E61" s="89">
        <f>INDEX('1. závod'!$A:$AE,$C61+3,INDEX('Základní list'!$B:$B,MATCH($B61,'Základní list'!$A:$A,0),1)+2)</f>
        <v>7</v>
      </c>
      <c r="F61" s="91" t="str">
        <f>INDEX('1. závod'!$A:$AE,$C61+3,INDEX('Základní list'!$B:$B,MATCH($B61,'Základní list'!$A:$A,0),1)-1)</f>
        <v>Kasl Luboš</v>
      </c>
      <c r="G61" s="94" t="s">
        <v>24</v>
      </c>
      <c r="H61" s="94">
        <v>9</v>
      </c>
      <c r="I61" s="89">
        <f>INDEX('2. závod'!$A:$AE,$H61+3,INDEX('Základní list'!$B:$B,MATCH($G61,'Základní list'!$A:$A,0),1))</f>
        <v>760</v>
      </c>
      <c r="J61" s="89">
        <f>INDEX('2. závod'!$A:$AE,$H61+3,INDEX('Základní list'!$B:$B,MATCH($G61,'Základní list'!$A:$A,0),1)+2)</f>
        <v>8</v>
      </c>
      <c r="K61" s="91" t="str">
        <f>INDEX('2. závod'!$A:$AE,$H61+3,INDEX('Základní list'!$B:$B,MATCH($G61,'Základní list'!$A:$A,0),1)-1)</f>
        <v>Vodička Miloslav</v>
      </c>
    </row>
    <row r="62" spans="1:11" ht="18" customHeight="1">
      <c r="A62" s="90">
        <v>60</v>
      </c>
      <c r="B62" s="94" t="s">
        <v>24</v>
      </c>
      <c r="C62" s="94">
        <v>10</v>
      </c>
      <c r="D62" s="89">
        <f>INDEX('1. závod'!$A:$AE,$C62+3,INDEX('Základní list'!$B:$B,MATCH($B62,'Základní list'!$A:$A,0),1))</f>
        <v>1900</v>
      </c>
      <c r="E62" s="89">
        <f>INDEX('1. závod'!$A:$AE,$C62+3,INDEX('Základní list'!$B:$B,MATCH($B62,'Základní list'!$A:$A,0),1)+2)</f>
        <v>5</v>
      </c>
      <c r="F62" s="91" t="str">
        <f>INDEX('1. závod'!$A:$AE,$C62+3,INDEX('Základní list'!$B:$B,MATCH($B62,'Základní list'!$A:$A,0),1)-1)</f>
        <v>Ouředníček Jan</v>
      </c>
      <c r="G62" s="94" t="s">
        <v>24</v>
      </c>
      <c r="H62" s="94">
        <v>10</v>
      </c>
      <c r="I62" s="89">
        <f>INDEX('2. závod'!$A:$AE,$H62+3,INDEX('Základní list'!$B:$B,MATCH($G62,'Základní list'!$A:$A,0),1))</f>
        <v>1340</v>
      </c>
      <c r="J62" s="89">
        <f>INDEX('2. závod'!$A:$AE,$H62+3,INDEX('Základní list'!$B:$B,MATCH($G62,'Základní list'!$A:$A,0),1)+2)</f>
        <v>6</v>
      </c>
      <c r="K62" s="91" t="str">
        <f>INDEX('2. závod'!$A:$AE,$H62+3,INDEX('Základní list'!$B:$B,MATCH($G62,'Základní list'!$A:$A,0),1)-1)</f>
        <v>Dušánek Bohuslav</v>
      </c>
    </row>
    <row r="63" spans="2:3" ht="12.75">
      <c r="B63" s="93"/>
      <c r="C63" s="93"/>
    </row>
    <row r="64" spans="2:3" ht="12.75">
      <c r="B64" s="93"/>
      <c r="C64" s="93"/>
    </row>
    <row r="65" spans="2:3" ht="12.75">
      <c r="B65" s="93"/>
      <c r="C65" s="93"/>
    </row>
    <row r="66" spans="2:3" ht="12.75">
      <c r="B66" s="93"/>
      <c r="C66" s="93"/>
    </row>
    <row r="67" spans="2:3" ht="12.75">
      <c r="B67" s="93"/>
      <c r="C67" s="93"/>
    </row>
    <row r="68" spans="2:3" ht="12.75">
      <c r="B68" s="93"/>
      <c r="C68" s="93"/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64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2">
      <selection activeCell="A2" sqref="A2"/>
    </sheetView>
  </sheetViews>
  <sheetFormatPr defaultColWidth="9.00390625" defaultRowHeight="12.75" outlineLevelCol="1"/>
  <cols>
    <col min="1" max="1" width="28.375" style="131" customWidth="1"/>
    <col min="2" max="2" width="6.625" style="0" customWidth="1"/>
    <col min="3" max="3" width="23.1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46" t="s">
        <v>57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1:16" ht="7.5" customHeight="1" thickBot="1">
      <c r="A2" s="130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2.75">
      <c r="A3" s="247" t="s">
        <v>56</v>
      </c>
      <c r="B3" s="233" t="s">
        <v>78</v>
      </c>
      <c r="C3" s="235" t="s">
        <v>37</v>
      </c>
      <c r="D3" s="192" t="s">
        <v>39</v>
      </c>
      <c r="E3" s="193"/>
      <c r="F3" s="193"/>
      <c r="G3" s="193"/>
      <c r="H3" s="199"/>
      <c r="I3" s="192" t="s">
        <v>40</v>
      </c>
      <c r="J3" s="193"/>
      <c r="K3" s="193"/>
      <c r="L3" s="193"/>
      <c r="M3" s="199"/>
      <c r="N3" s="181" t="s">
        <v>55</v>
      </c>
      <c r="O3" s="181"/>
      <c r="P3" s="182"/>
    </row>
    <row r="4" spans="1:16" ht="12.75">
      <c r="A4" s="248"/>
      <c r="B4" s="234"/>
      <c r="C4" s="236"/>
      <c r="D4" s="173" t="s">
        <v>54</v>
      </c>
      <c r="E4" s="174"/>
      <c r="F4" s="237" t="s">
        <v>55</v>
      </c>
      <c r="G4" s="238"/>
      <c r="H4" s="239"/>
      <c r="I4" s="173" t="s">
        <v>54</v>
      </c>
      <c r="J4" s="174"/>
      <c r="K4" s="237" t="s">
        <v>55</v>
      </c>
      <c r="L4" s="238"/>
      <c r="M4" s="239"/>
      <c r="N4" s="184"/>
      <c r="O4" s="184"/>
      <c r="P4" s="185"/>
    </row>
    <row r="5" spans="1:16" ht="16.5" thickBot="1">
      <c r="A5" s="248"/>
      <c r="B5" s="234"/>
      <c r="C5" s="236"/>
      <c r="D5" s="78" t="s">
        <v>4</v>
      </c>
      <c r="E5" s="74" t="s">
        <v>16</v>
      </c>
      <c r="F5" s="74" t="s">
        <v>4</v>
      </c>
      <c r="G5" s="74" t="s">
        <v>6</v>
      </c>
      <c r="H5" s="75" t="s">
        <v>5</v>
      </c>
      <c r="I5" s="78" t="s">
        <v>4</v>
      </c>
      <c r="J5" s="74" t="s">
        <v>16</v>
      </c>
      <c r="K5" s="74" t="s">
        <v>4</v>
      </c>
      <c r="L5" s="74" t="s">
        <v>6</v>
      </c>
      <c r="M5" s="75" t="s">
        <v>5</v>
      </c>
      <c r="N5" s="77" t="s">
        <v>4</v>
      </c>
      <c r="O5" s="74" t="s">
        <v>6</v>
      </c>
      <c r="P5" s="75" t="s">
        <v>5</v>
      </c>
    </row>
    <row r="6" spans="1:16" ht="12.75" customHeight="1" thickBot="1">
      <c r="A6" s="225" t="s">
        <v>89</v>
      </c>
      <c r="B6" s="132">
        <v>99</v>
      </c>
      <c r="C6" s="118" t="str">
        <f>IF(ISBLANK($B6),"",INDEX('Výsledková listina'!PRINT_AREA,MATCH($B6,'Výsledková listina'!$E:$E,0),2))</f>
        <v>Tůma David</v>
      </c>
      <c r="D6" s="119">
        <f>IF(ISBLANK($B6),"",INDEX('Výsledková listina'!PRINT_AREA,MATCH($B6,'Výsledková listina'!$E:$E,0),8))</f>
        <v>2050</v>
      </c>
      <c r="E6" s="120">
        <f>IF(ISBLANK($B6),"",INDEX('Výsledková listina'!PRINT_AREA,MATCH($B6,'Výsledková listina'!$E:$E,0),9))</f>
        <v>5</v>
      </c>
      <c r="F6" s="228">
        <f>IF(ISBLANK($A6),"",SUM(D6:D8))</f>
        <v>3330</v>
      </c>
      <c r="G6" s="228">
        <f>IF(ISBLANK($A6),"",SUM(E6:E8))</f>
        <v>24</v>
      </c>
      <c r="H6" s="252">
        <f>IF(ISBLANK($A6),"",RANK(G6,G:G,1))</f>
        <v>18</v>
      </c>
      <c r="I6" s="119">
        <f>IF(ISBLANK($B6),"",INDEX('Výsledková listina'!PRINT_AREA,MATCH($B6,'Výsledková listina'!$E:$E,0),12))</f>
        <v>1460</v>
      </c>
      <c r="J6" s="120">
        <f>IF(ISBLANK($B6),"",INDEX('Výsledková listina'!PRINT_AREA,MATCH($B6,'Výsledková listina'!$E:$E,0),13))</f>
        <v>5</v>
      </c>
      <c r="K6" s="228">
        <f>IF(ISBLANK($A6),"",SUM(I6:I8))</f>
        <v>3740</v>
      </c>
      <c r="L6" s="228">
        <f>IF(ISBLANK($A6),"",SUM(J6:J8))</f>
        <v>17</v>
      </c>
      <c r="M6" s="240">
        <f>IF(ISBLANK($A6),"",RANK(L6,L:L,1))</f>
        <v>12</v>
      </c>
      <c r="N6" s="249">
        <f>IF(ISBLANK($A6),"",SUM(F6,K6))</f>
        <v>7070</v>
      </c>
      <c r="O6" s="243">
        <f>IF(ISBLANK($A6),"",SUM(G6,L6))</f>
        <v>41</v>
      </c>
      <c r="P6" s="240">
        <f>IF(N6="","",RANK(O6,O:O,1))</f>
        <v>17</v>
      </c>
    </row>
    <row r="7" spans="1:16" ht="12.75" customHeight="1" thickBot="1">
      <c r="A7" s="226"/>
      <c r="B7" s="133">
        <v>234</v>
      </c>
      <c r="C7" s="121" t="str">
        <f>IF(ISBLANK($B7),"",INDEX('Výsledková listina'!PRINT_AREA,MATCH($B7,'Výsledková listina'!$E:$E,0),2))</f>
        <v>Kodýdek Jiří</v>
      </c>
      <c r="D7" s="122">
        <f>IF(ISBLANK($B7),"",INDEX('Výsledková listina'!PRINT_AREA,MATCH($B7,'Výsledková listina'!$E:$E,0),8))</f>
        <v>980</v>
      </c>
      <c r="E7" s="123">
        <f>IF(ISBLANK($B7),"",INDEX('Výsledková listina'!PRINT_AREA,MATCH($B7,'Výsledková listina'!$E:$E,0),9))</f>
        <v>9</v>
      </c>
      <c r="F7" s="229"/>
      <c r="G7" s="229"/>
      <c r="H7" s="241"/>
      <c r="I7" s="122">
        <f>IF(ISBLANK($B7),"",INDEX('Výsledková listina'!PRINT_AREA,MATCH($B7,'Výsledková listina'!$E:$E,0),12))</f>
        <v>680</v>
      </c>
      <c r="J7" s="123">
        <f>IF(ISBLANK($B7),"",INDEX('Výsledková listina'!PRINT_AREA,MATCH($B7,'Výsledková listina'!$E:$E,0),13))</f>
        <v>8</v>
      </c>
      <c r="K7" s="229"/>
      <c r="L7" s="229"/>
      <c r="M7" s="241"/>
      <c r="N7" s="250"/>
      <c r="O7" s="244"/>
      <c r="P7" s="241"/>
    </row>
    <row r="8" spans="1:16" ht="13.5" customHeight="1" thickBot="1">
      <c r="A8" s="227"/>
      <c r="B8" s="133">
        <v>2789</v>
      </c>
      <c r="C8" s="124" t="str">
        <f>IF(ISBLANK($B8),"",INDEX('Výsledková listina'!PRINT_AREA,MATCH($B8,'Výsledková listina'!$E:$E,0),2))</f>
        <v>Karásek Pavel</v>
      </c>
      <c r="D8" s="125">
        <f>IF(ISBLANK($B8),"",INDEX('Výsledková listina'!PRINT_AREA,MATCH($B8,'Výsledková listina'!$E:$E,0),8))</f>
        <v>300</v>
      </c>
      <c r="E8" s="126">
        <f>IF(ISBLANK($B8),"",INDEX('Výsledková listina'!PRINT_AREA,MATCH($B8,'Výsledková listina'!$E:$E,0),9))</f>
        <v>10</v>
      </c>
      <c r="F8" s="230"/>
      <c r="G8" s="230"/>
      <c r="H8" s="253"/>
      <c r="I8" s="125">
        <f>IF(ISBLANK($B8),"",INDEX('Výsledková listina'!PRINT_AREA,MATCH($B8,'Výsledková listina'!$E:$E,0),12))</f>
        <v>1600</v>
      </c>
      <c r="J8" s="126">
        <f>IF(ISBLANK($B8),"",INDEX('Výsledková listina'!PRINT_AREA,MATCH($B8,'Výsledková listina'!$E:$E,0),13))</f>
        <v>4</v>
      </c>
      <c r="K8" s="230"/>
      <c r="L8" s="230"/>
      <c r="M8" s="242"/>
      <c r="N8" s="251"/>
      <c r="O8" s="245"/>
      <c r="P8" s="242"/>
    </row>
    <row r="9" spans="1:16" ht="12.75" customHeight="1" thickBot="1">
      <c r="A9" s="225" t="s">
        <v>90</v>
      </c>
      <c r="B9" s="132">
        <v>2358</v>
      </c>
      <c r="C9" s="118" t="str">
        <f>IF(ISBLANK($B9),"",INDEX('Výsledková listina'!PRINT_AREA,MATCH($B9,'Výsledková listina'!$E:$E,0),2))</f>
        <v>Tychler Milan</v>
      </c>
      <c r="D9" s="119">
        <f>IF(ISBLANK($B9),"",INDEX('Výsledková listina'!PRINT_AREA,MATCH($B9,'Výsledková listina'!$E:$E,0),8))</f>
        <v>2650</v>
      </c>
      <c r="E9" s="120">
        <f>IF(ISBLANK($B9),"",INDEX('Výsledková listina'!PRINT_AREA,MATCH($B9,'Výsledková listina'!$E:$E,0),9))</f>
        <v>4</v>
      </c>
      <c r="F9" s="228">
        <f>IF(ISBLANK($A9),"",SUM(D9:D11))</f>
        <v>6240</v>
      </c>
      <c r="G9" s="228">
        <f>IF(ISBLANK($A9),"",SUM(E9:E11))</f>
        <v>14</v>
      </c>
      <c r="H9" s="252">
        <f>IF(ISBLANK($A9),"",RANK(G9,G:G,1))</f>
        <v>7</v>
      </c>
      <c r="I9" s="119">
        <f>IF(ISBLANK($B9),"",INDEX('Výsledková listina'!PRINT_AREA,MATCH($B9,'Výsledková listina'!$E:$E,0),12))</f>
        <v>3640</v>
      </c>
      <c r="J9" s="120">
        <f>IF(ISBLANK($B9),"",INDEX('Výsledková listina'!PRINT_AREA,MATCH($B9,'Výsledková listina'!$E:$E,0),13))</f>
        <v>1</v>
      </c>
      <c r="K9" s="228">
        <f>IF(ISBLANK($A9),"",SUM(I9:I11))</f>
        <v>8550</v>
      </c>
      <c r="L9" s="228">
        <f>IF(ISBLANK($A9),"",SUM(J9:J11))</f>
        <v>8</v>
      </c>
      <c r="M9" s="240">
        <f>IF(ISBLANK($A9),"",RANK(L9,L:L,1))</f>
        <v>2</v>
      </c>
      <c r="N9" s="249">
        <f>IF(ISBLANK($A9),"",SUM(F9,K9))</f>
        <v>14790</v>
      </c>
      <c r="O9" s="243">
        <f>IF(ISBLANK($A9),"",SUM(G9,L9))</f>
        <v>22</v>
      </c>
      <c r="P9" s="240">
        <f>IF(N9="","",RANK(O9,O:O,1))</f>
        <v>3</v>
      </c>
    </row>
    <row r="10" spans="1:16" ht="12.75" customHeight="1" thickBot="1">
      <c r="A10" s="226"/>
      <c r="B10" s="132">
        <v>2305</v>
      </c>
      <c r="C10" s="121" t="str">
        <f>IF(ISBLANK($B10),"",INDEX('Výsledková listina'!PRINT_AREA,MATCH($B10,'Výsledková listina'!$E:$E,0),2))</f>
        <v>Bořuta Pavel</v>
      </c>
      <c r="D10" s="122">
        <f>IF(ISBLANK($B10),"",INDEX('Výsledková listina'!PRINT_AREA,MATCH($B10,'Výsledková listina'!$E:$E,0),8))</f>
        <v>1250</v>
      </c>
      <c r="E10" s="123">
        <f>IF(ISBLANK($B10),"",INDEX('Výsledková listina'!PRINT_AREA,MATCH($B10,'Výsledková listina'!$E:$E,0),9))</f>
        <v>7</v>
      </c>
      <c r="F10" s="229"/>
      <c r="G10" s="229"/>
      <c r="H10" s="241"/>
      <c r="I10" s="122">
        <f>IF(ISBLANK($B10),"",INDEX('Výsledková listina'!PRINT_AREA,MATCH($B10,'Výsledková listina'!$E:$E,0),12))</f>
        <v>2450</v>
      </c>
      <c r="J10" s="123">
        <f>IF(ISBLANK($B10),"",INDEX('Výsledková listina'!PRINT_AREA,MATCH($B10,'Výsledková listina'!$E:$E,0),13))</f>
        <v>4</v>
      </c>
      <c r="K10" s="229"/>
      <c r="L10" s="229"/>
      <c r="M10" s="241"/>
      <c r="N10" s="250"/>
      <c r="O10" s="244"/>
      <c r="P10" s="241"/>
    </row>
    <row r="11" spans="1:16" ht="13.5" customHeight="1" thickBot="1">
      <c r="A11" s="227"/>
      <c r="B11" s="133">
        <v>2304</v>
      </c>
      <c r="C11" s="124" t="str">
        <f>IF(ISBLANK($B11),"",INDEX('Výsledková listina'!PRINT_AREA,MATCH($B11,'Výsledková listina'!$E:$E,0),2))</f>
        <v>Hrabal Vladimír</v>
      </c>
      <c r="D11" s="125">
        <f>IF(ISBLANK($B11),"",INDEX('Výsledková listina'!PRINT_AREA,MATCH($B11,'Výsledková listina'!$E:$E,0),8))</f>
        <v>2340</v>
      </c>
      <c r="E11" s="126">
        <f>IF(ISBLANK($B11),"",INDEX('Výsledková listina'!PRINT_AREA,MATCH($B11,'Výsledková listina'!$E:$E,0),9))</f>
        <v>3</v>
      </c>
      <c r="F11" s="230"/>
      <c r="G11" s="230"/>
      <c r="H11" s="253"/>
      <c r="I11" s="125">
        <f>IF(ISBLANK($B11),"",INDEX('Výsledková listina'!PRINT_AREA,MATCH($B11,'Výsledková listina'!$E:$E,0),12))</f>
        <v>2460</v>
      </c>
      <c r="J11" s="126">
        <f>IF(ISBLANK($B11),"",INDEX('Výsledková listina'!PRINT_AREA,MATCH($B11,'Výsledková listina'!$E:$E,0),13))</f>
        <v>3</v>
      </c>
      <c r="K11" s="230"/>
      <c r="L11" s="230"/>
      <c r="M11" s="242"/>
      <c r="N11" s="251"/>
      <c r="O11" s="245"/>
      <c r="P11" s="242"/>
    </row>
    <row r="12" spans="1:16" ht="12.75" customHeight="1" thickBot="1">
      <c r="A12" s="225" t="s">
        <v>91</v>
      </c>
      <c r="B12" s="132">
        <v>1321</v>
      </c>
      <c r="C12" s="118" t="str">
        <f>IF(ISBLANK($B12),"",INDEX('Výsledková listina'!PRINT_AREA,MATCH($B12,'Výsledková listina'!$E:$E,0),2))</f>
        <v>Srb Roman</v>
      </c>
      <c r="D12" s="119">
        <f>IF(ISBLANK($B12),"",INDEX('Výsledková listina'!PRINT_AREA,MATCH($B12,'Výsledková listina'!$E:$E,0),8))</f>
        <v>7200</v>
      </c>
      <c r="E12" s="120">
        <f>IF(ISBLANK($B12),"",INDEX('Výsledková listina'!PRINT_AREA,MATCH($B12,'Výsledková listina'!$E:$E,0),9))</f>
        <v>2</v>
      </c>
      <c r="F12" s="228">
        <f>IF(ISBLANK($A12),"",SUM(D12:D14))</f>
        <v>11120</v>
      </c>
      <c r="G12" s="228">
        <f>IF(ISBLANK($A12),"",SUM(E12:E14))</f>
        <v>12</v>
      </c>
      <c r="H12" s="252">
        <f>IF(ISBLANK($A12),"",RANK(G12,G:G,1))</f>
        <v>3</v>
      </c>
      <c r="I12" s="119">
        <f>IF(ISBLANK($B12),"",INDEX('Výsledková listina'!PRINT_AREA,MATCH($B12,'Výsledková listina'!$E:$E,0),12))</f>
        <v>3060</v>
      </c>
      <c r="J12" s="120">
        <f>IF(ISBLANK($B12),"",INDEX('Výsledková listina'!PRINT_AREA,MATCH($B12,'Výsledková listina'!$E:$E,0),13))</f>
        <v>2</v>
      </c>
      <c r="K12" s="228">
        <f>IF(ISBLANK($A12),"",SUM(I12:I14))</f>
        <v>5810</v>
      </c>
      <c r="L12" s="228">
        <f>IF(ISBLANK($A12),"",SUM(J12:J14))</f>
        <v>13.5</v>
      </c>
      <c r="M12" s="240">
        <f>IF(ISBLANK($A12),"",RANK(L12,L:L,1))</f>
        <v>6</v>
      </c>
      <c r="N12" s="249">
        <f>IF(ISBLANK($A12),"",SUM(F12,K12))</f>
        <v>16930</v>
      </c>
      <c r="O12" s="243">
        <f>IF(ISBLANK($A12),"",SUM(G12,L12))</f>
        <v>25.5</v>
      </c>
      <c r="P12" s="240">
        <f>IF(N12="","",RANK(O12,O:O,1))</f>
        <v>6</v>
      </c>
    </row>
    <row r="13" spans="1:16" ht="12.75" customHeight="1" thickBot="1">
      <c r="A13" s="226"/>
      <c r="B13" s="133">
        <v>2327</v>
      </c>
      <c r="C13" s="121" t="str">
        <f>IF(ISBLANK($B13),"",INDEX('Výsledková listina'!PRINT_AREA,MATCH($B13,'Výsledková listina'!$E:$E,0),2))</f>
        <v>Douša Jan</v>
      </c>
      <c r="D13" s="122">
        <f>IF(ISBLANK($B13),"",INDEX('Výsledková listina'!PRINT_AREA,MATCH($B13,'Výsledková listina'!$E:$E,0),8))</f>
        <v>1840</v>
      </c>
      <c r="E13" s="123">
        <f>IF(ISBLANK($B13),"",INDEX('Výsledková listina'!PRINT_AREA,MATCH($B13,'Výsledková listina'!$E:$E,0),9))</f>
        <v>3</v>
      </c>
      <c r="F13" s="229"/>
      <c r="G13" s="229"/>
      <c r="H13" s="241"/>
      <c r="I13" s="122">
        <f>IF(ISBLANK($B13),"",INDEX('Výsledková listina'!PRINT_AREA,MATCH($B13,'Výsledková listina'!$E:$E,0),12))</f>
        <v>250</v>
      </c>
      <c r="J13" s="123">
        <f>IF(ISBLANK($B13),"",INDEX('Výsledková listina'!PRINT_AREA,MATCH($B13,'Výsledková listina'!$E:$E,0),13))</f>
        <v>9</v>
      </c>
      <c r="K13" s="229"/>
      <c r="L13" s="229"/>
      <c r="M13" s="241"/>
      <c r="N13" s="250"/>
      <c r="O13" s="244"/>
      <c r="P13" s="241"/>
    </row>
    <row r="14" spans="1:16" ht="13.5" customHeight="1" thickBot="1">
      <c r="A14" s="227"/>
      <c r="B14" s="133">
        <v>2319</v>
      </c>
      <c r="C14" s="124" t="str">
        <f>IF(ISBLANK($B14),"",INDEX('Výsledková listina'!PRINT_AREA,MATCH($B14,'Výsledková listina'!$E:$E,0),2))</f>
        <v>Šurgota Juraj</v>
      </c>
      <c r="D14" s="125">
        <f>IF(ISBLANK($B14),"",INDEX('Výsledková listina'!PRINT_AREA,MATCH($B14,'Výsledková listina'!$E:$E,0),8))</f>
        <v>2080</v>
      </c>
      <c r="E14" s="126">
        <f>IF(ISBLANK($B14),"",INDEX('Výsledková listina'!PRINT_AREA,MATCH($B14,'Výsledková listina'!$E:$E,0),9))</f>
        <v>7</v>
      </c>
      <c r="F14" s="230"/>
      <c r="G14" s="230"/>
      <c r="H14" s="253"/>
      <c r="I14" s="125">
        <f>IF(ISBLANK($B14),"",INDEX('Výsledková listina'!PRINT_AREA,MATCH($B14,'Výsledková listina'!$E:$E,0),12))</f>
        <v>2500</v>
      </c>
      <c r="J14" s="126">
        <f>IF(ISBLANK($B14),"",INDEX('Výsledková listina'!PRINT_AREA,MATCH($B14,'Výsledková listina'!$E:$E,0),13))</f>
        <v>2.5</v>
      </c>
      <c r="K14" s="230"/>
      <c r="L14" s="230"/>
      <c r="M14" s="242"/>
      <c r="N14" s="251"/>
      <c r="O14" s="245"/>
      <c r="P14" s="242"/>
    </row>
    <row r="15" spans="1:16" ht="12.75" customHeight="1" thickBot="1">
      <c r="A15" s="254" t="s">
        <v>92</v>
      </c>
      <c r="B15" s="132">
        <v>2621</v>
      </c>
      <c r="C15" s="118" t="str">
        <f>IF(ISBLANK($B15),"",INDEX('Výsledková listina'!PRINT_AREA,MATCH($B15,'Výsledková listina'!$E:$E,0),2))</f>
        <v>Kříž Petr</v>
      </c>
      <c r="D15" s="119">
        <f>IF(ISBLANK($B15),"",INDEX('Výsledková listina'!PRINT_AREA,MATCH($B15,'Výsledková listina'!$E:$E,0),8))</f>
        <v>1350</v>
      </c>
      <c r="E15" s="120">
        <f>IF(ISBLANK($B15),"",INDEX('Výsledková listina'!PRINT_AREA,MATCH($B15,'Výsledková listina'!$E:$E,0),9))</f>
        <v>7</v>
      </c>
      <c r="F15" s="228">
        <f>IF(ISBLANK($A15),"",SUM(D15:D17))</f>
        <v>3830</v>
      </c>
      <c r="G15" s="228">
        <f>IF(ISBLANK($A15),"",SUM(E15:E17))</f>
        <v>20</v>
      </c>
      <c r="H15" s="252">
        <f>IF(ISBLANK($A15),"",RANK(G15,G:G,1))</f>
        <v>15</v>
      </c>
      <c r="I15" s="119">
        <f>IF(ISBLANK($B15),"",INDEX('Výsledková listina'!PRINT_AREA,MATCH($B15,'Výsledková listina'!$E:$E,0),12))</f>
        <v>220</v>
      </c>
      <c r="J15" s="120">
        <f>IF(ISBLANK($B15),"",INDEX('Výsledková listina'!PRINT_AREA,MATCH($B15,'Výsledková listina'!$E:$E,0),13))</f>
        <v>9.5</v>
      </c>
      <c r="K15" s="228">
        <f>IF(ISBLANK($A15),"",SUM(I15:I17))</f>
        <v>3570</v>
      </c>
      <c r="L15" s="228">
        <f>IF(ISBLANK($A15),"",SUM(J15:J17))</f>
        <v>16.5</v>
      </c>
      <c r="M15" s="240">
        <f>IF(ISBLANK($A15),"",RANK(L15,L:L,1))</f>
        <v>11</v>
      </c>
      <c r="N15" s="249">
        <f>IF(ISBLANK($A15),"",SUM(F15,K15))</f>
        <v>7400</v>
      </c>
      <c r="O15" s="243">
        <f>IF(ISBLANK($A15),"",SUM(G15,L15))</f>
        <v>36.5</v>
      </c>
      <c r="P15" s="240">
        <f>IF(N15="","",RANK(O15,O:O,1))</f>
        <v>13</v>
      </c>
    </row>
    <row r="16" spans="1:16" ht="12.75" customHeight="1" thickBot="1">
      <c r="A16" s="255"/>
      <c r="B16" s="133">
        <v>2637</v>
      </c>
      <c r="C16" s="121" t="str">
        <f>IF(ISBLANK($B16),"",INDEX('Výsledková listina'!PRINT_AREA,MATCH($B16,'Výsledková listina'!$E:$E,0),2))</f>
        <v>Krýsl Pavel</v>
      </c>
      <c r="D16" s="122">
        <f>IF(ISBLANK($B16),"",INDEX('Výsledková listina'!PRINT_AREA,MATCH($B16,'Výsledková listina'!$E:$E,0),8))</f>
        <v>2280</v>
      </c>
      <c r="E16" s="123">
        <f>IF(ISBLANK($B16),"",INDEX('Výsledková listina'!PRINT_AREA,MATCH($B16,'Výsledková listina'!$E:$E,0),9))</f>
        <v>4</v>
      </c>
      <c r="F16" s="229"/>
      <c r="G16" s="229"/>
      <c r="H16" s="241"/>
      <c r="I16" s="122">
        <f>IF(ISBLANK($B16),"",INDEX('Výsledková listina'!PRINT_AREA,MATCH($B16,'Výsledková listina'!$E:$E,0),12))</f>
        <v>1850</v>
      </c>
      <c r="J16" s="123">
        <f>IF(ISBLANK($B16),"",INDEX('Výsledková listina'!PRINT_AREA,MATCH($B16,'Výsledková listina'!$E:$E,0),13))</f>
        <v>2</v>
      </c>
      <c r="K16" s="229"/>
      <c r="L16" s="229"/>
      <c r="M16" s="241"/>
      <c r="N16" s="250"/>
      <c r="O16" s="244"/>
      <c r="P16" s="241"/>
    </row>
    <row r="17" spans="1:16" ht="13.5" customHeight="1" thickBot="1">
      <c r="A17" s="256"/>
      <c r="B17" s="132">
        <v>2646</v>
      </c>
      <c r="C17" s="121" t="str">
        <f>IF(ISBLANK($B17),"",INDEX('Výsledková listina'!PRINT_AREA,MATCH($B17,'Výsledková listina'!$E:$E,0),2))</f>
        <v>Soukup Michal</v>
      </c>
      <c r="D17" s="125">
        <f>IF(ISBLANK($B17),"",INDEX('Výsledková listina'!PRINT_AREA,MATCH($B17,'Výsledková listina'!$E:$E,0),8))</f>
        <v>200</v>
      </c>
      <c r="E17" s="126">
        <f>IF(ISBLANK($B17),"",INDEX('Výsledková listina'!PRINT_AREA,MATCH($B17,'Výsledková listina'!$E:$E,0),9))</f>
        <v>9</v>
      </c>
      <c r="F17" s="230"/>
      <c r="G17" s="230"/>
      <c r="H17" s="253"/>
      <c r="I17" s="125">
        <f>IF(ISBLANK($B17),"",INDEX('Výsledková listina'!PRINT_AREA,MATCH($B17,'Výsledková listina'!$E:$E,0),12))</f>
        <v>1500</v>
      </c>
      <c r="J17" s="126">
        <f>IF(ISBLANK($B17),"",INDEX('Výsledková listina'!PRINT_AREA,MATCH($B17,'Výsledková listina'!$E:$E,0),13))</f>
        <v>5</v>
      </c>
      <c r="K17" s="230"/>
      <c r="L17" s="230"/>
      <c r="M17" s="242"/>
      <c r="N17" s="251"/>
      <c r="O17" s="245"/>
      <c r="P17" s="242"/>
    </row>
    <row r="18" spans="1:16" ht="12.75" customHeight="1" thickBot="1">
      <c r="A18" s="225" t="s">
        <v>93</v>
      </c>
      <c r="B18" s="132">
        <v>1982</v>
      </c>
      <c r="C18" s="118" t="str">
        <f>IF(ISBLANK($B18),"",INDEX('Výsledková listina'!PRINT_AREA,MATCH($B18,'Výsledková listina'!$E:$E,0),2))</f>
        <v>Hahn Petr</v>
      </c>
      <c r="D18" s="119">
        <f>IF(ISBLANK($B18),"",INDEX('Výsledková listina'!PRINT_AREA,MATCH($B18,'Výsledková listina'!$E:$E,0),8))</f>
        <v>4200</v>
      </c>
      <c r="E18" s="120">
        <f>IF(ISBLANK($B18),"",INDEX('Výsledková listina'!PRINT_AREA,MATCH($B18,'Výsledková listina'!$E:$E,0),9))</f>
        <v>2</v>
      </c>
      <c r="F18" s="228">
        <f>IF(ISBLANK($A18),"",SUM(D18:D20))</f>
        <v>8530</v>
      </c>
      <c r="G18" s="228">
        <f>IF(ISBLANK($A18),"",SUM(E18:E20))</f>
        <v>12</v>
      </c>
      <c r="H18" s="252">
        <f>IF(ISBLANK($A18),"",RANK(G18,G:G,1))</f>
        <v>3</v>
      </c>
      <c r="I18" s="119">
        <f>IF(ISBLANK($B18),"",INDEX('Výsledková listina'!PRINT_AREA,MATCH($B18,'Výsledková listina'!$E:$E,0),12))</f>
        <v>3500</v>
      </c>
      <c r="J18" s="120">
        <f>IF(ISBLANK($B18),"",INDEX('Výsledková listina'!PRINT_AREA,MATCH($B18,'Výsledková listina'!$E:$E,0),13))</f>
        <v>1</v>
      </c>
      <c r="K18" s="228">
        <f>IF(ISBLANK($A18),"",SUM(I18:I20))</f>
        <v>7180</v>
      </c>
      <c r="L18" s="228">
        <f>IF(ISBLANK($A18),"",SUM(J18:J20))</f>
        <v>11</v>
      </c>
      <c r="M18" s="240">
        <f>IF(ISBLANK($A18),"",RANK(L18,L:L,1))</f>
        <v>3</v>
      </c>
      <c r="N18" s="249">
        <f>IF(ISBLANK($A18),"",SUM(F18,K18))</f>
        <v>15710</v>
      </c>
      <c r="O18" s="243">
        <f>IF(ISBLANK($A18),"",SUM(G18,L18))</f>
        <v>23</v>
      </c>
      <c r="P18" s="240">
        <f>IF(N18="","",RANK(O18,O:O,1))</f>
        <v>4</v>
      </c>
    </row>
    <row r="19" spans="1:16" ht="12.75" customHeight="1" thickBot="1">
      <c r="A19" s="226"/>
      <c r="B19" s="133">
        <v>2271</v>
      </c>
      <c r="C19" s="121" t="str">
        <f>IF(ISBLANK($B19),"",INDEX('Výsledková listina'!PRINT_AREA,MATCH($B19,'Výsledková listina'!$E:$E,0),2))</f>
        <v>Smutný Jiří</v>
      </c>
      <c r="D19" s="122">
        <f>IF(ISBLANK($B19),"",INDEX('Výsledková listina'!PRINT_AREA,MATCH($B19,'Výsledková listina'!$E:$E,0),8))</f>
        <v>1050</v>
      </c>
      <c r="E19" s="123">
        <f>IF(ISBLANK($B19),"",INDEX('Výsledková listina'!PRINT_AREA,MATCH($B19,'Výsledková listina'!$E:$E,0),9))</f>
        <v>8</v>
      </c>
      <c r="F19" s="229"/>
      <c r="G19" s="229"/>
      <c r="H19" s="241"/>
      <c r="I19" s="122">
        <f>IF(ISBLANK($B19),"",INDEX('Výsledková listina'!PRINT_AREA,MATCH($B19,'Výsledková listina'!$E:$E,0),12))</f>
        <v>2640</v>
      </c>
      <c r="J19" s="123">
        <f>IF(ISBLANK($B19),"",INDEX('Výsledková listina'!PRINT_AREA,MATCH($B19,'Výsledková listina'!$E:$E,0),13))</f>
        <v>3</v>
      </c>
      <c r="K19" s="229"/>
      <c r="L19" s="229"/>
      <c r="M19" s="241"/>
      <c r="N19" s="250"/>
      <c r="O19" s="244"/>
      <c r="P19" s="241"/>
    </row>
    <row r="20" spans="1:16" ht="13.5" customHeight="1" thickBot="1">
      <c r="A20" s="227"/>
      <c r="B20" s="133">
        <v>2506</v>
      </c>
      <c r="C20" s="127" t="str">
        <f>IF(ISBLANK($B20),"",INDEX('Výsledková listina'!PRINT_AREA,MATCH($B20,'Výsledková listina'!$E:$E,0),2))</f>
        <v>Sofron Pavel</v>
      </c>
      <c r="D20" s="128">
        <f>IF(ISBLANK($B20),"",INDEX('Výsledková listina'!PRINT_AREA,MATCH($B20,'Výsledková listina'!$E:$E,0),8))</f>
        <v>3280</v>
      </c>
      <c r="E20" s="129">
        <f>IF(ISBLANK($B20),"",INDEX('Výsledková listina'!PRINT_AREA,MATCH($B20,'Výsledková listina'!$E:$E,0),9))</f>
        <v>2</v>
      </c>
      <c r="F20" s="230"/>
      <c r="G20" s="230"/>
      <c r="H20" s="253"/>
      <c r="I20" s="128">
        <f>IF(ISBLANK($B20),"",INDEX('Výsledková listina'!PRINT_AREA,MATCH($B20,'Výsledková listina'!$E:$E,0),12))</f>
        <v>1040</v>
      </c>
      <c r="J20" s="129">
        <f>IF(ISBLANK($B20),"",INDEX('Výsledková listina'!PRINT_AREA,MATCH($B20,'Výsledková listina'!$E:$E,0),13))</f>
        <v>7</v>
      </c>
      <c r="K20" s="230"/>
      <c r="L20" s="230"/>
      <c r="M20" s="242"/>
      <c r="N20" s="251"/>
      <c r="O20" s="245"/>
      <c r="P20" s="242"/>
    </row>
    <row r="21" spans="1:16" ht="12.75" customHeight="1" thickBot="1">
      <c r="A21" s="225" t="s">
        <v>94</v>
      </c>
      <c r="B21" s="132">
        <v>1</v>
      </c>
      <c r="C21" s="118" t="str">
        <f>IF(ISBLANK($B21),"",INDEX('Výsledková listina'!PRINT_AREA,MATCH($B21,'Výsledková listina'!$E:$E,0),2))</f>
        <v>Malypetr Zdeněk</v>
      </c>
      <c r="D21" s="119">
        <f>IF(ISBLANK($B21),"",INDEX('Výsledková listina'!PRINT_AREA,MATCH($B21,'Výsledková listina'!$E:$E,0),8))</f>
        <v>40</v>
      </c>
      <c r="E21" s="120">
        <f>IF(ISBLANK($B21),"",INDEX('Výsledková listina'!PRINT_AREA,MATCH($B21,'Výsledková listina'!$E:$E,0),9))</f>
        <v>10</v>
      </c>
      <c r="F21" s="228">
        <f>IF(ISBLANK($A21),"",SUM(D21:D23))</f>
        <v>820</v>
      </c>
      <c r="G21" s="228">
        <f>IF(ISBLANK($A21),"",SUM(E21:E23))</f>
        <v>30</v>
      </c>
      <c r="H21" s="252">
        <f>IF(ISBLANK($A21),"",RANK(G21,G:G,1))</f>
        <v>20</v>
      </c>
      <c r="I21" s="119">
        <f>IF(ISBLANK($B21),"",INDEX('Výsledková listina'!PRINT_AREA,MATCH($B21,'Výsledková listina'!$E:$E,0),12))</f>
        <v>1450</v>
      </c>
      <c r="J21" s="120">
        <f>IF(ISBLANK($B21),"",INDEX('Výsledková listina'!PRINT_AREA,MATCH($B21,'Výsledková listina'!$E:$E,0),13))</f>
        <v>7</v>
      </c>
      <c r="K21" s="228">
        <f>IF(ISBLANK($A21),"",SUM(I21:I23))</f>
        <v>2330</v>
      </c>
      <c r="L21" s="228">
        <f>IF(ISBLANK($A21),"",SUM(J21:J23))</f>
        <v>25.5</v>
      </c>
      <c r="M21" s="240">
        <f>IF(ISBLANK($A21),"",RANK(L21,L:L,1))</f>
        <v>18</v>
      </c>
      <c r="N21" s="249">
        <f>IF(ISBLANK($A21),"",SUM(F21,K21))</f>
        <v>3150</v>
      </c>
      <c r="O21" s="243">
        <f>IF(ISBLANK($A21),"",SUM(G21,L21))</f>
        <v>55.5</v>
      </c>
      <c r="P21" s="240">
        <f>IF(N21="","",RANK(O21,O:O,1))</f>
        <v>20</v>
      </c>
    </row>
    <row r="22" spans="1:16" ht="12.75" customHeight="1" thickBot="1">
      <c r="A22" s="226"/>
      <c r="B22" s="133">
        <v>2592</v>
      </c>
      <c r="C22" s="121" t="str">
        <f>IF(ISBLANK($B22),"",INDEX('Výsledková listina'!PRINT_AREA,MATCH($B22,'Výsledková listina'!$E:$E,0),2))</f>
        <v>Malypetr Zdeněk ml.</v>
      </c>
      <c r="D22" s="122">
        <f>IF(ISBLANK($B22),"",INDEX('Výsledková listina'!PRINT_AREA,MATCH($B22,'Výsledková listina'!$E:$E,0),8))</f>
        <v>280</v>
      </c>
      <c r="E22" s="123">
        <f>IF(ISBLANK($B22),"",INDEX('Výsledková listina'!PRINT_AREA,MATCH($B22,'Výsledková listina'!$E:$E,0),9))</f>
        <v>10</v>
      </c>
      <c r="F22" s="229"/>
      <c r="G22" s="229"/>
      <c r="H22" s="241"/>
      <c r="I22" s="122">
        <f>IF(ISBLANK($B22),"",INDEX('Výsledková listina'!PRINT_AREA,MATCH($B22,'Výsledková listina'!$E:$E,0),12))</f>
        <v>660</v>
      </c>
      <c r="J22" s="123">
        <f>IF(ISBLANK($B22),"",INDEX('Výsledková listina'!PRINT_AREA,MATCH($B22,'Výsledková listina'!$E:$E,0),13))</f>
        <v>9</v>
      </c>
      <c r="K22" s="229"/>
      <c r="L22" s="229"/>
      <c r="M22" s="241"/>
      <c r="N22" s="250"/>
      <c r="O22" s="244"/>
      <c r="P22" s="241"/>
    </row>
    <row r="23" spans="1:16" ht="13.5" customHeight="1" thickBot="1">
      <c r="A23" s="227"/>
      <c r="B23" s="133">
        <v>2</v>
      </c>
      <c r="C23" s="124" t="str">
        <f>IF(ISBLANK($B23),"",INDEX('Výsledková listina'!PRINT_AREA,MATCH($B23,'Výsledková listina'!$E:$E,0),2))</f>
        <v>Kocián Oldřich</v>
      </c>
      <c r="D23" s="125">
        <f>IF(ISBLANK($B23),"",INDEX('Výsledková listina'!PRINT_AREA,MATCH($B23,'Výsledková listina'!$E:$E,0),8))</f>
        <v>500</v>
      </c>
      <c r="E23" s="126">
        <f>IF(ISBLANK($B23),"",INDEX('Výsledková listina'!PRINT_AREA,MATCH($B23,'Výsledková listina'!$E:$E,0),9))</f>
        <v>10</v>
      </c>
      <c r="F23" s="230"/>
      <c r="G23" s="230"/>
      <c r="H23" s="253"/>
      <c r="I23" s="125">
        <f>IF(ISBLANK($B23),"",INDEX('Výsledková listina'!PRINT_AREA,MATCH($B23,'Výsledková listina'!$E:$E,0),12))</f>
        <v>220</v>
      </c>
      <c r="J23" s="126">
        <f>IF(ISBLANK($B23),"",INDEX('Výsledková listina'!PRINT_AREA,MATCH($B23,'Výsledková listina'!$E:$E,0),13))</f>
        <v>9.5</v>
      </c>
      <c r="K23" s="230"/>
      <c r="L23" s="230"/>
      <c r="M23" s="242"/>
      <c r="N23" s="251"/>
      <c r="O23" s="245"/>
      <c r="P23" s="242"/>
    </row>
    <row r="24" spans="1:16" ht="12.75" customHeight="1" thickBot="1">
      <c r="A24" s="225" t="s">
        <v>95</v>
      </c>
      <c r="B24" s="132">
        <v>1730</v>
      </c>
      <c r="C24" s="118" t="str">
        <f>IF(ISBLANK($B24),"",INDEX('Výsledková listina'!PRINT_AREA,MATCH($B24,'Výsledková listina'!$E:$E,0),2))</f>
        <v>Vitásek Jiří</v>
      </c>
      <c r="D24" s="119">
        <f>IF(ISBLANK($B24),"",INDEX('Výsledková listina'!PRINT_AREA,MATCH($B24,'Výsledková listina'!$E:$E,0),8))</f>
        <v>5850</v>
      </c>
      <c r="E24" s="120">
        <f>IF(ISBLANK($B24),"",INDEX('Výsledková listina'!PRINT_AREA,MATCH($B24,'Výsledková listina'!$E:$E,0),9))</f>
        <v>2</v>
      </c>
      <c r="F24" s="228">
        <f>IF(ISBLANK($A24),"",SUM(D24:D26))</f>
        <v>8600</v>
      </c>
      <c r="G24" s="228">
        <f>IF(ISBLANK($A24),"",SUM(E24:E26))</f>
        <v>14.5</v>
      </c>
      <c r="H24" s="252">
        <f>IF(ISBLANK($A24),"",RANK(G24,G:G,1))</f>
        <v>11</v>
      </c>
      <c r="I24" s="119">
        <f>IF(ISBLANK($B24),"",INDEX('Výsledková listina'!PRINT_AREA,MATCH($B24,'Výsledková listina'!$E:$E,0),12))</f>
        <v>2800</v>
      </c>
      <c r="J24" s="120">
        <f>IF(ISBLANK($B24),"",INDEX('Výsledková listina'!PRINT_AREA,MATCH($B24,'Výsledková listina'!$E:$E,0),13))</f>
        <v>1</v>
      </c>
      <c r="K24" s="228">
        <f>IF(ISBLANK($A24),"",SUM(I24:I26))</f>
        <v>9150</v>
      </c>
      <c r="L24" s="228">
        <f>IF(ISBLANK($A24),"",SUM(J24:J26))</f>
        <v>6</v>
      </c>
      <c r="M24" s="240">
        <f>IF(ISBLANK($A24),"",RANK(L24,L:L,1))</f>
        <v>1</v>
      </c>
      <c r="N24" s="249">
        <f>IF(ISBLANK($A24),"",SUM(F24,K24))</f>
        <v>17750</v>
      </c>
      <c r="O24" s="243">
        <f>IF(ISBLANK($A24),"",SUM(G24,L24))</f>
        <v>20.5</v>
      </c>
      <c r="P24" s="240">
        <f>IF(N24="","",RANK(O24,O:O,1))</f>
        <v>2</v>
      </c>
    </row>
    <row r="25" spans="1:16" ht="12.75" customHeight="1" thickBot="1">
      <c r="A25" s="226"/>
      <c r="B25" s="133">
        <v>2818</v>
      </c>
      <c r="C25" s="121" t="str">
        <f>IF(ISBLANK($B25),"",INDEX('Výsledková listina'!PRINT_AREA,MATCH($B25,'Výsledková listina'!$E:$E,0),2))</f>
        <v>Hanousek Václav</v>
      </c>
      <c r="D25" s="122">
        <f>IF(ISBLANK($B25),"",INDEX('Výsledková listina'!PRINT_AREA,MATCH($B25,'Výsledková listina'!$E:$E,0),8))</f>
        <v>1150</v>
      </c>
      <c r="E25" s="123">
        <f>IF(ISBLANK($B25),"",INDEX('Výsledková listina'!PRINT_AREA,MATCH($B25,'Výsledková listina'!$E:$E,0),9))</f>
        <v>6.5</v>
      </c>
      <c r="F25" s="229"/>
      <c r="G25" s="229"/>
      <c r="H25" s="241"/>
      <c r="I25" s="122">
        <f>IF(ISBLANK($B25),"",INDEX('Výsledková listina'!PRINT_AREA,MATCH($B25,'Výsledková listina'!$E:$E,0),12))</f>
        <v>2700</v>
      </c>
      <c r="J25" s="123">
        <f>IF(ISBLANK($B25),"",INDEX('Výsledková listina'!PRINT_AREA,MATCH($B25,'Výsledková listina'!$E:$E,0),13))</f>
        <v>4</v>
      </c>
      <c r="K25" s="229"/>
      <c r="L25" s="229"/>
      <c r="M25" s="241"/>
      <c r="N25" s="250"/>
      <c r="O25" s="244"/>
      <c r="P25" s="241"/>
    </row>
    <row r="26" spans="1:16" ht="13.5" customHeight="1" thickBot="1">
      <c r="A26" s="227"/>
      <c r="B26" s="133">
        <v>2317</v>
      </c>
      <c r="C26" s="124" t="str">
        <f>IF(ISBLANK($B26),"",INDEX('Výsledková listina'!PRINT_AREA,MATCH($B26,'Výsledková listina'!$E:$E,0),2))</f>
        <v>Peřina Josef</v>
      </c>
      <c r="D26" s="125">
        <f>IF(ISBLANK($B26),"",INDEX('Výsledková listina'!PRINT_AREA,MATCH($B26,'Výsledková listina'!$E:$E,0),8))</f>
        <v>1600</v>
      </c>
      <c r="E26" s="126">
        <f>IF(ISBLANK($B26),"",INDEX('Výsledková listina'!PRINT_AREA,MATCH($B26,'Výsledková listina'!$E:$E,0),9))</f>
        <v>6</v>
      </c>
      <c r="F26" s="230"/>
      <c r="G26" s="230"/>
      <c r="H26" s="253"/>
      <c r="I26" s="125">
        <f>IF(ISBLANK($B26),"",INDEX('Výsledková listina'!PRINT_AREA,MATCH($B26,'Výsledková listina'!$E:$E,0),12))</f>
        <v>3650</v>
      </c>
      <c r="J26" s="126">
        <f>IF(ISBLANK($B26),"",INDEX('Výsledková listina'!PRINT_AREA,MATCH($B26,'Výsledková listina'!$E:$E,0),13))</f>
        <v>1</v>
      </c>
      <c r="K26" s="230"/>
      <c r="L26" s="230"/>
      <c r="M26" s="242"/>
      <c r="N26" s="251"/>
      <c r="O26" s="245"/>
      <c r="P26" s="242"/>
    </row>
    <row r="27" spans="1:16" ht="12.75" customHeight="1" thickBot="1">
      <c r="A27" s="225" t="s">
        <v>96</v>
      </c>
      <c r="B27" s="132">
        <v>2225</v>
      </c>
      <c r="C27" s="96" t="str">
        <f>IF(ISBLANK($B27),"",INDEX('Výsledková listina'!PRINT_AREA,MATCH($B27,'Výsledková listina'!$E:$E,0),2))</f>
        <v>Bromovský Petr</v>
      </c>
      <c r="D27" s="98">
        <f>IF(ISBLANK($B27),"",INDEX('Výsledková listina'!PRINT_AREA,MATCH($B27,'Výsledková listina'!$E:$E,0),8))</f>
        <v>2280</v>
      </c>
      <c r="E27" s="99">
        <f>IF(ISBLANK($B27),"",INDEX('Výsledková listina'!PRINT_AREA,MATCH($B27,'Výsledková listina'!$E:$E,0),9))</f>
        <v>6</v>
      </c>
      <c r="F27" s="228">
        <f>IF(ISBLANK($A27),"",SUM(D27:D29))</f>
        <v>3510</v>
      </c>
      <c r="G27" s="228">
        <f>IF(ISBLANK($A27),"",SUM(E27:E29))</f>
        <v>23</v>
      </c>
      <c r="H27" s="231">
        <f>IF(ISBLANK($A27),"",RANK(G27,G:G,1))</f>
        <v>17</v>
      </c>
      <c r="I27" s="98">
        <f>IF(ISBLANK($B27),"",INDEX('Výsledková listina'!PRINT_AREA,MATCH($B27,'Výsledková listina'!$E:$E,0),12))</f>
        <v>900</v>
      </c>
      <c r="J27" s="99">
        <f>IF(ISBLANK($B27),"",INDEX('Výsledková listina'!PRINT_AREA,MATCH($B27,'Výsledková listina'!$E:$E,0),13))</f>
        <v>6.5</v>
      </c>
      <c r="K27" s="228">
        <f>IF(ISBLANK($A27),"",SUM(I27:I29))</f>
        <v>3790</v>
      </c>
      <c r="L27" s="228">
        <f>IF(ISBLANK($A27),"",SUM(J27:J29))</f>
        <v>17.5</v>
      </c>
      <c r="M27" s="216">
        <f>IF(ISBLANK($A27),"",RANK(L27,L:L,1))</f>
        <v>14</v>
      </c>
      <c r="N27" s="219">
        <f>IF(ISBLANK($A27),"",SUM(F27,K27))</f>
        <v>7300</v>
      </c>
      <c r="O27" s="222">
        <f>IF(ISBLANK($A27),"",SUM(G27,L27))</f>
        <v>40.5</v>
      </c>
      <c r="P27" s="216">
        <v>16</v>
      </c>
    </row>
    <row r="28" spans="1:16" ht="12.75" customHeight="1" thickBot="1">
      <c r="A28" s="226"/>
      <c r="B28" s="133">
        <v>2363</v>
      </c>
      <c r="C28" s="97" t="str">
        <f>IF(ISBLANK($B28),"",INDEX('Výsledková listina'!PRINT_AREA,MATCH($B28,'Výsledková listina'!$E:$E,0),2))</f>
        <v>Konopásek Jaroslav </v>
      </c>
      <c r="D28" s="102">
        <f>IF(ISBLANK($B28),"",INDEX('Výsledková listina'!PRINT_AREA,MATCH($B28,'Výsledková listina'!$E:$E,0),8))</f>
        <v>580</v>
      </c>
      <c r="E28" s="103">
        <f>IF(ISBLANK($B28),"",INDEX('Výsledková listina'!PRINT_AREA,MATCH($B28,'Výsledková listina'!$E:$E,0),9))</f>
        <v>8</v>
      </c>
      <c r="F28" s="229"/>
      <c r="G28" s="229"/>
      <c r="H28" s="217"/>
      <c r="I28" s="102">
        <f>IF(ISBLANK($B28),"",INDEX('Výsledková listina'!PRINT_AREA,MATCH($B28,'Výsledková listina'!$E:$E,0),12))</f>
        <v>2050</v>
      </c>
      <c r="J28" s="103">
        <f>IF(ISBLANK($B28),"",INDEX('Výsledková listina'!PRINT_AREA,MATCH($B28,'Výsledková listina'!$E:$E,0),13))</f>
        <v>2</v>
      </c>
      <c r="K28" s="229"/>
      <c r="L28" s="229"/>
      <c r="M28" s="217"/>
      <c r="N28" s="220"/>
      <c r="O28" s="223"/>
      <c r="P28" s="217"/>
    </row>
    <row r="29" spans="1:16" ht="13.5" customHeight="1" thickBot="1">
      <c r="A29" s="227"/>
      <c r="B29" s="132">
        <v>2036</v>
      </c>
      <c r="C29" s="95" t="str">
        <f>IF(ISBLANK($B29),"",INDEX('Výsledková listina'!PRINT_AREA,MATCH($B29,'Výsledková listina'!$E:$E,0),2))</f>
        <v>Reiser Petr</v>
      </c>
      <c r="D29" s="100">
        <f>IF(ISBLANK($B29),"",INDEX('Výsledková listina'!PRINT_AREA,MATCH($B29,'Výsledková listina'!$E:$E,0),8))</f>
        <v>650</v>
      </c>
      <c r="E29" s="101">
        <f>IF(ISBLANK($B29),"",INDEX('Výsledková listina'!PRINT_AREA,MATCH($B29,'Výsledková listina'!$E:$E,0),9))</f>
        <v>9</v>
      </c>
      <c r="F29" s="230"/>
      <c r="G29" s="230"/>
      <c r="H29" s="232"/>
      <c r="I29" s="100">
        <f>IF(ISBLANK($B29),"",INDEX('Výsledková listina'!PRINT_AREA,MATCH($B29,'Výsledková listina'!$E:$E,0),12))</f>
        <v>840</v>
      </c>
      <c r="J29" s="101">
        <f>IF(ISBLANK($B29),"",INDEX('Výsledková listina'!PRINT_AREA,MATCH($B29,'Výsledková listina'!$E:$E,0),13))</f>
        <v>9</v>
      </c>
      <c r="K29" s="230"/>
      <c r="L29" s="230"/>
      <c r="M29" s="218"/>
      <c r="N29" s="221"/>
      <c r="O29" s="224"/>
      <c r="P29" s="218"/>
    </row>
    <row r="30" spans="1:16" ht="12.75" customHeight="1" thickBot="1">
      <c r="A30" s="225" t="s">
        <v>97</v>
      </c>
      <c r="B30" s="132">
        <v>2289</v>
      </c>
      <c r="C30" s="96" t="str">
        <f>IF(ISBLANK($B30),"",INDEX('Výsledková listina'!PRINT_AREA,MATCH($B30,'Výsledková listina'!$E:$E,0),2))</f>
        <v>Vávra Jiří</v>
      </c>
      <c r="D30" s="98">
        <f>IF(ISBLANK($B30),"",INDEX('Výsledková listina'!PRINT_AREA,MATCH($B30,'Výsledková listina'!$E:$E,0),8))</f>
        <v>2980</v>
      </c>
      <c r="E30" s="99">
        <f>IF(ISBLANK($B30),"",INDEX('Výsledková listina'!PRINT_AREA,MATCH($B30,'Výsledková listina'!$E:$E,0),9))</f>
        <v>3</v>
      </c>
      <c r="F30" s="228">
        <f>IF(ISBLANK($A30),"",SUM(D30:D32))</f>
        <v>5610</v>
      </c>
      <c r="G30" s="228">
        <f>IF(ISBLANK($A30),"",SUM(E30:E32))</f>
        <v>12</v>
      </c>
      <c r="H30" s="231">
        <f>IF(ISBLANK($A30),"",RANK(G30,G:G,1))</f>
        <v>3</v>
      </c>
      <c r="I30" s="98">
        <f>IF(ISBLANK($B30),"",INDEX('Výsledková listina'!PRINT_AREA,MATCH($B30,'Výsledková listina'!$E:$E,0),12))</f>
        <v>2620</v>
      </c>
      <c r="J30" s="99">
        <f>IF(ISBLANK($B30),"",INDEX('Výsledková listina'!PRINT_AREA,MATCH($B30,'Výsledková listina'!$E:$E,0),13))</f>
        <v>2</v>
      </c>
      <c r="K30" s="228">
        <f>IF(ISBLANK($A30),"",SUM(I30:I32))</f>
        <v>4350</v>
      </c>
      <c r="L30" s="228">
        <f>IF(ISBLANK($A30),"",SUM(J30:J32))</f>
        <v>18</v>
      </c>
      <c r="M30" s="216">
        <f>IF(ISBLANK($A30),"",RANK(L30,L:L,1))</f>
        <v>15</v>
      </c>
      <c r="N30" s="219">
        <f>IF(ISBLANK($A30),"",SUM(F30,K30))</f>
        <v>9960</v>
      </c>
      <c r="O30" s="222">
        <f>IF(ISBLANK($A30),"",SUM(G30,L30))</f>
        <v>30</v>
      </c>
      <c r="P30" s="216">
        <v>10</v>
      </c>
    </row>
    <row r="31" spans="1:16" ht="12.75" customHeight="1" thickBot="1">
      <c r="A31" s="226"/>
      <c r="B31" s="133">
        <v>2290</v>
      </c>
      <c r="C31" s="97" t="str">
        <f>IF(ISBLANK($B31),"",INDEX('Výsledková listina'!PRINT_AREA,MATCH($B31,'Výsledková listina'!$E:$E,0),2))</f>
        <v>Dorotík Tomáš</v>
      </c>
      <c r="D31" s="102">
        <f>IF(ISBLANK($B31),"",INDEX('Výsledková listina'!PRINT_AREA,MATCH($B31,'Výsledková listina'!$E:$E,0),8))</f>
        <v>1450</v>
      </c>
      <c r="E31" s="103">
        <f>IF(ISBLANK($B31),"",INDEX('Výsledková listina'!PRINT_AREA,MATCH($B31,'Výsledková listina'!$E:$E,0),9))</f>
        <v>4</v>
      </c>
      <c r="F31" s="229"/>
      <c r="G31" s="229"/>
      <c r="H31" s="217"/>
      <c r="I31" s="102">
        <f>IF(ISBLANK($B31),"",INDEX('Výsledková listina'!PRINT_AREA,MATCH($B31,'Výsledková listina'!$E:$E,0),12))</f>
        <v>850</v>
      </c>
      <c r="J31" s="103">
        <f>IF(ISBLANK($B31),"",INDEX('Výsledková listina'!PRINT_AREA,MATCH($B31,'Výsledková listina'!$E:$E,0),13))</f>
        <v>8</v>
      </c>
      <c r="K31" s="229"/>
      <c r="L31" s="229"/>
      <c r="M31" s="217"/>
      <c r="N31" s="220"/>
      <c r="O31" s="223"/>
      <c r="P31" s="217"/>
    </row>
    <row r="32" spans="1:16" ht="13.5" customHeight="1" thickBot="1">
      <c r="A32" s="227"/>
      <c r="B32" s="133">
        <v>2750</v>
      </c>
      <c r="C32" s="95" t="str">
        <f>IF(ISBLANK($B32),"",INDEX('Výsledková listina'!PRINT_AREA,MATCH($B32,'Výsledková listina'!$E:$E,0),2))</f>
        <v>Janiš Jiří</v>
      </c>
      <c r="D32" s="100">
        <f>IF(ISBLANK($B32),"",INDEX('Výsledková listina'!PRINT_AREA,MATCH($B32,'Výsledková listina'!$E:$E,0),8))</f>
        <v>1180</v>
      </c>
      <c r="E32" s="101">
        <f>IF(ISBLANK($B32),"",INDEX('Výsledková listina'!PRINT_AREA,MATCH($B32,'Výsledková listina'!$E:$E,0),9))</f>
        <v>5</v>
      </c>
      <c r="F32" s="230"/>
      <c r="G32" s="230"/>
      <c r="H32" s="232"/>
      <c r="I32" s="100">
        <f>IF(ISBLANK($B32),"",INDEX('Výsledková listina'!PRINT_AREA,MATCH($B32,'Výsledková listina'!$E:$E,0),12))</f>
        <v>880</v>
      </c>
      <c r="J32" s="101">
        <f>IF(ISBLANK($B32),"",INDEX('Výsledková listina'!PRINT_AREA,MATCH($B32,'Výsledková listina'!$E:$E,0),13))</f>
        <v>8</v>
      </c>
      <c r="K32" s="230"/>
      <c r="L32" s="230"/>
      <c r="M32" s="218"/>
      <c r="N32" s="221"/>
      <c r="O32" s="224"/>
      <c r="P32" s="218"/>
    </row>
    <row r="33" spans="1:16" ht="12.75" customHeight="1" thickBot="1">
      <c r="A33" s="225" t="s">
        <v>98</v>
      </c>
      <c r="B33" s="132">
        <v>2302</v>
      </c>
      <c r="C33" s="96" t="str">
        <f>IF(ISBLANK($B33),"",INDEX('Výsledková listina'!PRINT_AREA,MATCH($B33,'Výsledková listina'!$E:$E,0),2))</f>
        <v>Chalupa Ladislav</v>
      </c>
      <c r="D33" s="98">
        <f>IF(ISBLANK($B33),"",INDEX('Výsledková listina'!PRINT_AREA,MATCH($B33,'Výsledková listina'!$E:$E,0),8))</f>
        <v>3480</v>
      </c>
      <c r="E33" s="99">
        <f>IF(ISBLANK($B33),"",INDEX('Výsledková listina'!PRINT_AREA,MATCH($B33,'Výsledková listina'!$E:$E,0),9))</f>
        <v>1</v>
      </c>
      <c r="F33" s="228">
        <f>IF(ISBLANK($A33),"",SUM(D33:D35))</f>
        <v>5530</v>
      </c>
      <c r="G33" s="228">
        <f>IF(ISBLANK($A33),"",SUM(E33:E35))</f>
        <v>15</v>
      </c>
      <c r="H33" s="231">
        <f>IF(ISBLANK($A33),"",RANK(G33,G:G,1))</f>
        <v>12</v>
      </c>
      <c r="I33" s="98">
        <f>IF(ISBLANK($B33),"",INDEX('Výsledková listina'!PRINT_AREA,MATCH($B33,'Výsledková listina'!$E:$E,0),12))</f>
        <v>1600</v>
      </c>
      <c r="J33" s="99">
        <f>IF(ISBLANK($B33),"",INDEX('Výsledková listina'!PRINT_AREA,MATCH($B33,'Výsledková listina'!$E:$E,0),13))</f>
        <v>6</v>
      </c>
      <c r="K33" s="228">
        <f>IF(ISBLANK($A33),"",SUM(I33:I35))</f>
        <v>5040</v>
      </c>
      <c r="L33" s="228">
        <f>IF(ISBLANK($A33),"",SUM(J33:J35))</f>
        <v>16</v>
      </c>
      <c r="M33" s="216">
        <f>IF(ISBLANK($A33),"",RANK(L33,L:L,1))</f>
        <v>9</v>
      </c>
      <c r="N33" s="219">
        <f>IF(ISBLANK($A33),"",SUM(F33,K33))</f>
        <v>10570</v>
      </c>
      <c r="O33" s="222">
        <f>IF(ISBLANK($A33),"",SUM(G33,L33))</f>
        <v>31</v>
      </c>
      <c r="P33" s="216">
        <f>IF(N33="","",RANK(O33,O:O,1))</f>
        <v>11</v>
      </c>
    </row>
    <row r="34" spans="1:16" ht="12.75" customHeight="1" thickBot="1">
      <c r="A34" s="226"/>
      <c r="B34" s="133">
        <v>617</v>
      </c>
      <c r="C34" s="97" t="str">
        <f>IF(ISBLANK($B34),"",INDEX('Výsledková listina'!PRINT_AREA,MATCH($B34,'Výsledková listina'!$E:$E,0),2))</f>
        <v>Vinař René</v>
      </c>
      <c r="D34" s="102">
        <f>IF(ISBLANK($B34),"",INDEX('Výsledková listina'!PRINT_AREA,MATCH($B34,'Výsledková listina'!$E:$E,0),8))</f>
        <v>1500</v>
      </c>
      <c r="E34" s="103">
        <f>IF(ISBLANK($B34),"",INDEX('Výsledková listina'!PRINT_AREA,MATCH($B34,'Výsledková listina'!$E:$E,0),9))</f>
        <v>6</v>
      </c>
      <c r="F34" s="229"/>
      <c r="G34" s="229"/>
      <c r="H34" s="217"/>
      <c r="I34" s="102">
        <f>IF(ISBLANK($B34),"",INDEX('Výsledková listina'!PRINT_AREA,MATCH($B34,'Výsledková listina'!$E:$E,0),12))</f>
        <v>2140</v>
      </c>
      <c r="J34" s="103">
        <f>IF(ISBLANK($B34),"",INDEX('Výsledková listina'!PRINT_AREA,MATCH($B34,'Výsledková listina'!$E:$E,0),13))</f>
        <v>4</v>
      </c>
      <c r="K34" s="229"/>
      <c r="L34" s="229"/>
      <c r="M34" s="217"/>
      <c r="N34" s="220"/>
      <c r="O34" s="223"/>
      <c r="P34" s="217"/>
    </row>
    <row r="35" spans="1:16" ht="13.5" customHeight="1" thickBot="1">
      <c r="A35" s="227"/>
      <c r="B35" s="133">
        <v>2301</v>
      </c>
      <c r="C35" s="95" t="str">
        <f>IF(ISBLANK($B35),"",INDEX('Výsledková listina'!PRINT_AREA,MATCH($B35,'Výsledková listina'!$E:$E,0),2))</f>
        <v>Pelíšek František</v>
      </c>
      <c r="D35" s="100">
        <f>IF(ISBLANK($B35),"",INDEX('Výsledková listina'!PRINT_AREA,MATCH($B35,'Výsledková listina'!$E:$E,0),8))</f>
        <v>550</v>
      </c>
      <c r="E35" s="101">
        <f>IF(ISBLANK($B35),"",INDEX('Výsledková listina'!PRINT_AREA,MATCH($B35,'Výsledková listina'!$E:$E,0),9))</f>
        <v>8</v>
      </c>
      <c r="F35" s="230"/>
      <c r="G35" s="230"/>
      <c r="H35" s="232"/>
      <c r="I35" s="100">
        <f>IF(ISBLANK($B35),"",INDEX('Výsledková listina'!PRINT_AREA,MATCH($B35,'Výsledková listina'!$E:$E,0),12))</f>
        <v>1300</v>
      </c>
      <c r="J35" s="101">
        <f>IF(ISBLANK($B35),"",INDEX('Výsledková listina'!PRINT_AREA,MATCH($B35,'Výsledková listina'!$E:$E,0),13))</f>
        <v>6</v>
      </c>
      <c r="K35" s="230"/>
      <c r="L35" s="230"/>
      <c r="M35" s="218"/>
      <c r="N35" s="221"/>
      <c r="O35" s="224"/>
      <c r="P35" s="218"/>
    </row>
    <row r="36" spans="1:16" ht="12.75" customHeight="1" thickBot="1">
      <c r="A36" s="225" t="s">
        <v>99</v>
      </c>
      <c r="B36" s="132">
        <v>753</v>
      </c>
      <c r="C36" s="96" t="str">
        <f>IF(ISBLANK($B36),"",INDEX('Výsledková listina'!PRINT_AREA,MATCH($B36,'Výsledková listina'!$E:$E,0),2))</f>
        <v>Koubek František</v>
      </c>
      <c r="D36" s="98">
        <f>IF(ISBLANK($B36),"",INDEX('Výsledková listina'!PRINT_AREA,MATCH($B36,'Výsledková listina'!$E:$E,0),8))</f>
        <v>2700</v>
      </c>
      <c r="E36" s="99">
        <f>IF(ISBLANK($B36),"",INDEX('Výsledková listina'!PRINT_AREA,MATCH($B36,'Výsledková listina'!$E:$E,0),9))</f>
        <v>5</v>
      </c>
      <c r="F36" s="228">
        <f>IF(ISBLANK($A36),"",SUM(D36:D38))</f>
        <v>8620</v>
      </c>
      <c r="G36" s="228">
        <f>IF(ISBLANK($A36),"",SUM(E36:E38))</f>
        <v>13</v>
      </c>
      <c r="H36" s="231">
        <f>IF(ISBLANK($A36),"",RANK(G36,G:G,1))</f>
        <v>6</v>
      </c>
      <c r="I36" s="98">
        <f>IF(ISBLANK($B36),"",INDEX('Výsledková listina'!PRINT_AREA,MATCH($B36,'Výsledková listina'!$E:$E,0),12))</f>
        <v>400</v>
      </c>
      <c r="J36" s="99">
        <f>IF(ISBLANK($B36),"",INDEX('Výsledková listina'!PRINT_AREA,MATCH($B36,'Výsledková listina'!$E:$E,0),13))</f>
        <v>9</v>
      </c>
      <c r="K36" s="228">
        <f>IF(ISBLANK($A36),"",SUM(I36:I38))</f>
        <v>4290</v>
      </c>
      <c r="L36" s="228">
        <f>IF(ISBLANK($A36),"",SUM(J36:J38))</f>
        <v>17</v>
      </c>
      <c r="M36" s="216">
        <f>IF(ISBLANK($A36),"",RANK(L36,L:L,1))</f>
        <v>12</v>
      </c>
      <c r="N36" s="219">
        <f>IF(ISBLANK($A36),"",SUM(F36,K36))</f>
        <v>12910</v>
      </c>
      <c r="O36" s="222">
        <f>IF(ISBLANK($A36),"",SUM(G36,L36))</f>
        <v>30</v>
      </c>
      <c r="P36" s="216">
        <f>IF(N36="","",RANK(O36,O:O,1))</f>
        <v>9</v>
      </c>
    </row>
    <row r="37" spans="1:16" ht="12.75" customHeight="1" thickBot="1">
      <c r="A37" s="226"/>
      <c r="B37" s="133">
        <v>2263</v>
      </c>
      <c r="C37" s="97" t="str">
        <f>IF(ISBLANK($B37),"",INDEX('Výsledková listina'!PRINT_AREA,MATCH($B37,'Výsledková listina'!$E:$E,0),2))</f>
        <v>Kabourek Václav</v>
      </c>
      <c r="D37" s="102">
        <f>IF(ISBLANK($B37),"",INDEX('Výsledková listina'!PRINT_AREA,MATCH($B37,'Výsledková listina'!$E:$E,0),8))</f>
        <v>1820</v>
      </c>
      <c r="E37" s="103">
        <f>IF(ISBLANK($B37),"",INDEX('Výsledková listina'!PRINT_AREA,MATCH($B37,'Výsledková listina'!$E:$E,0),9))</f>
        <v>4</v>
      </c>
      <c r="F37" s="229"/>
      <c r="G37" s="229"/>
      <c r="H37" s="217"/>
      <c r="I37" s="102">
        <f>IF(ISBLANK($B37),"",INDEX('Výsledková listina'!PRINT_AREA,MATCH($B37,'Výsledková listina'!$E:$E,0),12))</f>
        <v>1550</v>
      </c>
      <c r="J37" s="103">
        <f>IF(ISBLANK($B37),"",INDEX('Výsledková listina'!PRINT_AREA,MATCH($B37,'Výsledková listina'!$E:$E,0),13))</f>
        <v>3</v>
      </c>
      <c r="K37" s="229"/>
      <c r="L37" s="229"/>
      <c r="M37" s="217"/>
      <c r="N37" s="220"/>
      <c r="O37" s="223"/>
      <c r="P37" s="217"/>
    </row>
    <row r="38" spans="1:16" ht="13.5" customHeight="1" thickBot="1">
      <c r="A38" s="227"/>
      <c r="B38" s="133">
        <v>2284</v>
      </c>
      <c r="C38" s="95" t="str">
        <f>IF(ISBLANK($B38),"",INDEX('Výsledková listina'!PRINT_AREA,MATCH($B38,'Výsledková listina'!$E:$E,0),2))</f>
        <v>Janečka Martin</v>
      </c>
      <c r="D38" s="100">
        <f>IF(ISBLANK($B38),"",INDEX('Výsledková listina'!PRINT_AREA,MATCH($B38,'Výsledková listina'!$E:$E,0),8))</f>
        <v>4100</v>
      </c>
      <c r="E38" s="101">
        <f>IF(ISBLANK($B38),"",INDEX('Výsledková listina'!PRINT_AREA,MATCH($B38,'Výsledková listina'!$E:$E,0),9))</f>
        <v>4</v>
      </c>
      <c r="F38" s="230"/>
      <c r="G38" s="230"/>
      <c r="H38" s="232"/>
      <c r="I38" s="100">
        <f>IF(ISBLANK($B38),"",INDEX('Výsledková listina'!PRINT_AREA,MATCH($B38,'Výsledková listina'!$E:$E,0),12))</f>
        <v>2340</v>
      </c>
      <c r="J38" s="101">
        <f>IF(ISBLANK($B38),"",INDEX('Výsledková listina'!PRINT_AREA,MATCH($B38,'Výsledková listina'!$E:$E,0),13))</f>
        <v>5</v>
      </c>
      <c r="K38" s="230"/>
      <c r="L38" s="230"/>
      <c r="M38" s="218"/>
      <c r="N38" s="221"/>
      <c r="O38" s="224"/>
      <c r="P38" s="218"/>
    </row>
    <row r="39" spans="1:16" ht="12.75" customHeight="1" thickBot="1">
      <c r="A39" s="225" t="s">
        <v>100</v>
      </c>
      <c r="B39" s="132">
        <v>2298</v>
      </c>
      <c r="C39" s="96" t="str">
        <f>IF(ISBLANK($B39),"",INDEX('Výsledková listina'!PRINT_AREA,MATCH($B39,'Výsledková listina'!$E:$E,0),2))</f>
        <v>Štěpnička Milan</v>
      </c>
      <c r="D39" s="98">
        <f>IF(ISBLANK($B39),"",INDEX('Výsledková listina'!PRINT_AREA,MATCH($B39,'Výsledková listina'!$E:$E,0),8))</f>
        <v>2740</v>
      </c>
      <c r="E39" s="99">
        <f>IF(ISBLANK($B39),"",INDEX('Výsledková listina'!PRINT_AREA,MATCH($B39,'Výsledková listina'!$E:$E,0),9))</f>
        <v>4</v>
      </c>
      <c r="F39" s="228">
        <f>IF(ISBLANK($A39),"",SUM(D39:D41))</f>
        <v>10900</v>
      </c>
      <c r="G39" s="228">
        <f>IF(ISBLANK($A39),"",SUM(E39:E41))</f>
        <v>14</v>
      </c>
      <c r="H39" s="231">
        <f>IF(ISBLANK($A39),"",RANK(G39,G:G,1))</f>
        <v>7</v>
      </c>
      <c r="I39" s="98">
        <f>IF(ISBLANK($B39),"",INDEX('Výsledková listina'!PRINT_AREA,MATCH($B39,'Výsledková listina'!$E:$E,0),12))</f>
        <v>780</v>
      </c>
      <c r="J39" s="99">
        <f>IF(ISBLANK($B39),"",INDEX('Výsledková listina'!PRINT_AREA,MATCH($B39,'Výsledková listina'!$E:$E,0),13))</f>
        <v>7</v>
      </c>
      <c r="K39" s="228">
        <f>IF(ISBLANK($A39),"",SUM(I39:I41))</f>
        <v>4040</v>
      </c>
      <c r="L39" s="228">
        <f>IF(ISBLANK($A39),"",SUM(J39:J41))</f>
        <v>15</v>
      </c>
      <c r="M39" s="216">
        <f>IF(ISBLANK($A39),"",RANK(L39,L:L,1))</f>
        <v>8</v>
      </c>
      <c r="N39" s="219">
        <f>IF(ISBLANK($A39),"",SUM(F39,K39))</f>
        <v>14940</v>
      </c>
      <c r="O39" s="222">
        <f>IF(ISBLANK($A39),"",SUM(G39,L39))</f>
        <v>29</v>
      </c>
      <c r="P39" s="216">
        <f>IF(N39="","",RANK(O39,O:O,1))</f>
        <v>7</v>
      </c>
    </row>
    <row r="40" spans="1:16" ht="12.75" customHeight="1" thickBot="1">
      <c r="A40" s="226"/>
      <c r="B40" s="133">
        <v>2299</v>
      </c>
      <c r="C40" s="97" t="str">
        <f>IF(ISBLANK($B40),"",INDEX('Výsledková listina'!PRINT_AREA,MATCH($B40,'Výsledková listina'!$E:$E,0),2))</f>
        <v>Štěpnička Radek</v>
      </c>
      <c r="D40" s="102">
        <f>IF(ISBLANK($B40),"",INDEX('Výsledková listina'!PRINT_AREA,MATCH($B40,'Výsledková listina'!$E:$E,0),8))</f>
        <v>7600</v>
      </c>
      <c r="E40" s="103">
        <f>IF(ISBLANK($B40),"",INDEX('Výsledková listina'!PRINT_AREA,MATCH($B40,'Výsledková listina'!$E:$E,0),9))</f>
        <v>1</v>
      </c>
      <c r="F40" s="229"/>
      <c r="G40" s="229"/>
      <c r="H40" s="217"/>
      <c r="I40" s="102">
        <f>IF(ISBLANK($B40),"",INDEX('Výsledková listina'!PRINT_AREA,MATCH($B40,'Výsledková listina'!$E:$E,0),12))</f>
        <v>1460</v>
      </c>
      <c r="J40" s="103">
        <f>IF(ISBLANK($B40),"",INDEX('Výsledková listina'!PRINT_AREA,MATCH($B40,'Výsledková listina'!$E:$E,0),13))</f>
        <v>5</v>
      </c>
      <c r="K40" s="229"/>
      <c r="L40" s="229"/>
      <c r="M40" s="217"/>
      <c r="N40" s="220"/>
      <c r="O40" s="223"/>
      <c r="P40" s="217"/>
    </row>
    <row r="41" spans="1:16" ht="13.5" customHeight="1" thickBot="1">
      <c r="A41" s="227"/>
      <c r="B41" s="133">
        <v>2297</v>
      </c>
      <c r="C41" s="95" t="str">
        <f>IF(ISBLANK($B41),"",INDEX('Výsledková listina'!PRINT_AREA,MATCH($B41,'Výsledková listina'!$E:$E,0),2))</f>
        <v>Baranka Vladimír</v>
      </c>
      <c r="D41" s="100">
        <f>IF(ISBLANK($B41),"",INDEX('Výsledková listina'!PRINT_AREA,MATCH($B41,'Výsledková listina'!$E:$E,0),8))</f>
        <v>560</v>
      </c>
      <c r="E41" s="101">
        <f>IF(ISBLANK($B41),"",INDEX('Výsledková listina'!PRINT_AREA,MATCH($B41,'Výsledková listina'!$E:$E,0),9))</f>
        <v>9</v>
      </c>
      <c r="F41" s="230"/>
      <c r="G41" s="230"/>
      <c r="H41" s="232"/>
      <c r="I41" s="100">
        <f>IF(ISBLANK($B41),"",INDEX('Výsledková listina'!PRINT_AREA,MATCH($B41,'Výsledková listina'!$E:$E,0),12))</f>
        <v>1800</v>
      </c>
      <c r="J41" s="101">
        <f>IF(ISBLANK($B41),"",INDEX('Výsledková listina'!PRINT_AREA,MATCH($B41,'Výsledková listina'!$E:$E,0),13))</f>
        <v>3</v>
      </c>
      <c r="K41" s="230"/>
      <c r="L41" s="230"/>
      <c r="M41" s="218"/>
      <c r="N41" s="221"/>
      <c r="O41" s="224"/>
      <c r="P41" s="218"/>
    </row>
    <row r="42" spans="1:16" ht="12.75" customHeight="1" thickBot="1">
      <c r="A42" s="254" t="s">
        <v>101</v>
      </c>
      <c r="B42" s="132">
        <v>1126</v>
      </c>
      <c r="C42" s="96" t="str">
        <f>IF(ISBLANK($B42),"",INDEX('Výsledková listina'!PRINT_AREA,MATCH($B42,'Výsledková listina'!$E:$E,0),2))</f>
        <v>Ouředníček Jiří</v>
      </c>
      <c r="D42" s="98">
        <f>IF(ISBLANK($B42),"",INDEX('Výsledková listina'!PRINT_AREA,MATCH($B42,'Výsledková listina'!$E:$E,0),8))</f>
        <v>6460</v>
      </c>
      <c r="E42" s="99">
        <f>IF(ISBLANK($B42),"",INDEX('Výsledková listina'!PRINT_AREA,MATCH($B42,'Výsledková listina'!$E:$E,0),9))</f>
        <v>1</v>
      </c>
      <c r="F42" s="228">
        <f>IF(ISBLANK($A42),"",SUM(D42:D44))</f>
        <v>9460</v>
      </c>
      <c r="G42" s="228">
        <f>IF(ISBLANK($A42),"",SUM(E42:E44))</f>
        <v>14</v>
      </c>
      <c r="H42" s="231">
        <f>IF(ISBLANK($A42),"",RANK(G42,G:G,1))</f>
        <v>7</v>
      </c>
      <c r="I42" s="98">
        <f>IF(ISBLANK($B42),"",INDEX('Výsledková listina'!PRINT_AREA,MATCH($B42,'Výsledková listina'!$E:$E,0),12))</f>
        <v>3760</v>
      </c>
      <c r="J42" s="99">
        <f>IF(ISBLANK($B42),"",INDEX('Výsledková listina'!PRINT_AREA,MATCH($B42,'Výsledková listina'!$E:$E,0),13))</f>
        <v>1</v>
      </c>
      <c r="K42" s="228">
        <f>IF(ISBLANK($A42),"",SUM(I42:I44))</f>
        <v>6560</v>
      </c>
      <c r="L42" s="228">
        <f>IF(ISBLANK($A42),"",SUM(J42:J44))</f>
        <v>11</v>
      </c>
      <c r="M42" s="216">
        <f>IF(ISBLANK($A42),"",RANK(L42,L:L,1))</f>
        <v>3</v>
      </c>
      <c r="N42" s="219">
        <f>IF(ISBLANK($A42),"",SUM(F42,K42))</f>
        <v>16020</v>
      </c>
      <c r="O42" s="222">
        <f>IF(ISBLANK($A42),"",SUM(G42,L42))</f>
        <v>25</v>
      </c>
      <c r="P42" s="216">
        <f>IF(N42="","",RANK(O42,O:O,1))</f>
        <v>5</v>
      </c>
    </row>
    <row r="43" spans="1:16" ht="12.75" customHeight="1" thickBot="1">
      <c r="A43" s="255"/>
      <c r="B43" s="133">
        <v>1125</v>
      </c>
      <c r="C43" s="97" t="str">
        <f>IF(ISBLANK($B43),"",INDEX('Výsledková listina'!PRINT_AREA,MATCH($B43,'Výsledková listina'!$E:$E,0),2))</f>
        <v>Ouředníček Jan</v>
      </c>
      <c r="D43" s="102">
        <f>IF(ISBLANK($B43),"",INDEX('Výsledková listina'!PRINT_AREA,MATCH($B43,'Výsledková listina'!$E:$E,0),8))</f>
        <v>1900</v>
      </c>
      <c r="E43" s="103">
        <f>IF(ISBLANK($B43),"",INDEX('Výsledková listina'!PRINT_AREA,MATCH($B43,'Výsledková listina'!$E:$E,0),9))</f>
        <v>5</v>
      </c>
      <c r="F43" s="229"/>
      <c r="G43" s="229"/>
      <c r="H43" s="217"/>
      <c r="I43" s="102">
        <f>IF(ISBLANK($B43),"",INDEX('Výsledková listina'!PRINT_AREA,MATCH($B43,'Výsledková listina'!$E:$E,0),12))</f>
        <v>1200</v>
      </c>
      <c r="J43" s="103">
        <f>IF(ISBLANK($B43),"",INDEX('Výsledková listina'!PRINT_AREA,MATCH($B43,'Výsledková listina'!$E:$E,0),13))</f>
        <v>5</v>
      </c>
      <c r="K43" s="229"/>
      <c r="L43" s="229"/>
      <c r="M43" s="217"/>
      <c r="N43" s="220"/>
      <c r="O43" s="223"/>
      <c r="P43" s="217"/>
    </row>
    <row r="44" spans="1:16" ht="13.5" customHeight="1" thickBot="1">
      <c r="A44" s="256"/>
      <c r="B44" s="133">
        <v>2268</v>
      </c>
      <c r="C44" s="95" t="str">
        <f>IF(ISBLANK($B44),"",INDEX('Výsledková listina'!PRINT_AREA,MATCH($B44,'Výsledková listina'!$E:$E,0),2))</f>
        <v>Stejskal Miroslav</v>
      </c>
      <c r="D44" s="100">
        <f>IF(ISBLANK($B44),"",INDEX('Výsledková listina'!PRINT_AREA,MATCH($B44,'Výsledková listina'!$E:$E,0),8))</f>
        <v>1100</v>
      </c>
      <c r="E44" s="101">
        <f>IF(ISBLANK($B44),"",INDEX('Výsledková listina'!PRINT_AREA,MATCH($B44,'Výsledková listina'!$E:$E,0),9))</f>
        <v>8</v>
      </c>
      <c r="F44" s="230"/>
      <c r="G44" s="230"/>
      <c r="H44" s="232"/>
      <c r="I44" s="100">
        <f>IF(ISBLANK($B44),"",INDEX('Výsledková listina'!PRINT_AREA,MATCH($B44,'Výsledková listina'!$E:$E,0),12))</f>
        <v>1600</v>
      </c>
      <c r="J44" s="101">
        <f>IF(ISBLANK($B44),"",INDEX('Výsledková listina'!PRINT_AREA,MATCH($B44,'Výsledková listina'!$E:$E,0),13))</f>
        <v>5</v>
      </c>
      <c r="K44" s="230"/>
      <c r="L44" s="230"/>
      <c r="M44" s="218"/>
      <c r="N44" s="221"/>
      <c r="O44" s="224"/>
      <c r="P44" s="218"/>
    </row>
    <row r="45" spans="1:16" ht="12.75" customHeight="1" thickBot="1">
      <c r="A45" s="225" t="s">
        <v>102</v>
      </c>
      <c r="B45" s="132">
        <v>1086</v>
      </c>
      <c r="C45" s="96" t="str">
        <f>IF(ISBLANK($B45),"",INDEX('Výsledková listina'!PRINT_AREA,MATCH($B45,'Výsledková listina'!$E:$E,0),2))</f>
        <v>Kuchař Petr</v>
      </c>
      <c r="D45" s="98">
        <f>IF(ISBLANK($B45),"",INDEX('Výsledková listina'!PRINT_AREA,MATCH($B45,'Výsledková listina'!$E:$E,0),8))</f>
        <v>780</v>
      </c>
      <c r="E45" s="99">
        <f>IF(ISBLANK($B45),"",INDEX('Výsledková listina'!PRINT_AREA,MATCH($B45,'Výsledková listina'!$E:$E,0),9))</f>
        <v>7</v>
      </c>
      <c r="F45" s="228">
        <f>IF(ISBLANK($A45),"",SUM(D45:D47))</f>
        <v>12930</v>
      </c>
      <c r="G45" s="228">
        <f>IF(ISBLANK($A45),"",SUM(E45:E47))</f>
        <v>17</v>
      </c>
      <c r="H45" s="231">
        <f>IF(ISBLANK($A45),"",RANK(G45,G:G,1))</f>
        <v>14</v>
      </c>
      <c r="I45" s="98">
        <f>IF(ISBLANK($B45),"",INDEX('Výsledková listina'!PRINT_AREA,MATCH($B45,'Výsledková listina'!$E:$E,0),12))</f>
        <v>700</v>
      </c>
      <c r="J45" s="99">
        <f>IF(ISBLANK($B45),"",INDEX('Výsledková listina'!PRINT_AREA,MATCH($B45,'Výsledková listina'!$E:$E,0),13))</f>
        <v>9</v>
      </c>
      <c r="K45" s="228">
        <f>IF(ISBLANK($A45),"",SUM(I45:I47))</f>
        <v>1700</v>
      </c>
      <c r="L45" s="228">
        <f>IF(ISBLANK($A45),"",SUM(J45:J47))</f>
        <v>26</v>
      </c>
      <c r="M45" s="216">
        <f>IF(ISBLANK($A45),"",RANK(L45,L:L,1))</f>
        <v>19</v>
      </c>
      <c r="N45" s="219">
        <f>IF(ISBLANK($A45),"",SUM(F45,K45))</f>
        <v>14630</v>
      </c>
      <c r="O45" s="222">
        <f>IF(ISBLANK($A45),"",SUM(G45,L45))</f>
        <v>43</v>
      </c>
      <c r="P45" s="216">
        <f>IF(N45="","",RANK(O45,O:O,1))</f>
        <v>18</v>
      </c>
    </row>
    <row r="46" spans="1:16" ht="12.75" customHeight="1" thickBot="1">
      <c r="A46" s="226"/>
      <c r="B46" s="133">
        <v>1129</v>
      </c>
      <c r="C46" s="97" t="str">
        <f>IF(ISBLANK($B46),"",INDEX('Výsledková listina'!PRINT_AREA,MATCH($B46,'Výsledková listina'!$E:$E,0),2))</f>
        <v>Hlína Václav</v>
      </c>
      <c r="D46" s="102">
        <f>IF(ISBLANK($B46),"",INDEX('Výsledková listina'!PRINT_AREA,MATCH($B46,'Výsledková listina'!$E:$E,0),8))</f>
        <v>300</v>
      </c>
      <c r="E46" s="103">
        <f>IF(ISBLANK($B46),"",INDEX('Výsledková listina'!PRINT_AREA,MATCH($B46,'Výsledková listina'!$E:$E,0),9))</f>
        <v>9</v>
      </c>
      <c r="F46" s="229"/>
      <c r="G46" s="229"/>
      <c r="H46" s="217"/>
      <c r="I46" s="102">
        <f>IF(ISBLANK($B46),"",INDEX('Výsledková listina'!PRINT_AREA,MATCH($B46,'Výsledková listina'!$E:$E,0),12))</f>
        <v>0</v>
      </c>
      <c r="J46" s="103">
        <f>IF(ISBLANK($B46),"",INDEX('Výsledková listina'!PRINT_AREA,MATCH($B46,'Výsledková listina'!$E:$E,0),13))</f>
        <v>10</v>
      </c>
      <c r="K46" s="229"/>
      <c r="L46" s="229"/>
      <c r="M46" s="217"/>
      <c r="N46" s="220"/>
      <c r="O46" s="223"/>
      <c r="P46" s="217"/>
    </row>
    <row r="47" spans="1:16" ht="13.5" customHeight="1" thickBot="1">
      <c r="A47" s="227"/>
      <c r="B47" s="132">
        <v>1080</v>
      </c>
      <c r="C47" s="95" t="str">
        <f>IF(ISBLANK($B47),"",INDEX('Výsledková listina'!PRINT_AREA,MATCH($B47,'Výsledková listina'!$E:$E,0),2))</f>
        <v>Pavelka Viktor</v>
      </c>
      <c r="D47" s="100">
        <f>IF(ISBLANK($B47),"",INDEX('Výsledková listina'!PRINT_AREA,MATCH($B47,'Výsledková listina'!$E:$E,0),8))</f>
        <v>11850</v>
      </c>
      <c r="E47" s="101">
        <f>IF(ISBLANK($B47),"",INDEX('Výsledková listina'!PRINT_AREA,MATCH($B47,'Výsledková listina'!$E:$E,0),9))</f>
        <v>1</v>
      </c>
      <c r="F47" s="230"/>
      <c r="G47" s="230"/>
      <c r="H47" s="232"/>
      <c r="I47" s="100">
        <f>IF(ISBLANK($B47),"",INDEX('Výsledková listina'!PRINT_AREA,MATCH($B47,'Výsledková listina'!$E:$E,0),12))</f>
        <v>1000</v>
      </c>
      <c r="J47" s="101">
        <f>IF(ISBLANK($B47),"",INDEX('Výsledková listina'!PRINT_AREA,MATCH($B47,'Výsledková listina'!$E:$E,0),13))</f>
        <v>7</v>
      </c>
      <c r="K47" s="230"/>
      <c r="L47" s="230"/>
      <c r="M47" s="218"/>
      <c r="N47" s="221"/>
      <c r="O47" s="224"/>
      <c r="P47" s="218"/>
    </row>
    <row r="48" spans="1:16" ht="12.75" customHeight="1" thickBot="1">
      <c r="A48" s="254" t="s">
        <v>103</v>
      </c>
      <c r="B48" s="132">
        <v>82</v>
      </c>
      <c r="C48" s="96" t="str">
        <f>IF(ISBLANK($B48),"",INDEX('Výsledková listina'!PRINT_AREA,MATCH($B48,'Výsledková listina'!$E:$E,0),2))</f>
        <v>Juřík Milan</v>
      </c>
      <c r="D48" s="98">
        <f>IF(ISBLANK($B48),"",INDEX('Výsledková listina'!PRINT_AREA,MATCH($B48,'Výsledková listina'!$E:$E,0),8))</f>
        <v>4150</v>
      </c>
      <c r="E48" s="99">
        <f>IF(ISBLANK($B48),"",INDEX('Výsledková listina'!PRINT_AREA,MATCH($B48,'Výsledková listina'!$E:$E,0),9))</f>
        <v>2</v>
      </c>
      <c r="F48" s="228">
        <f>IF(ISBLANK($A48),"",SUM(D48:D50))</f>
        <v>11260</v>
      </c>
      <c r="G48" s="228">
        <f>IF(ISBLANK($A48),"",SUM(E48:E50))</f>
        <v>7</v>
      </c>
      <c r="H48" s="231">
        <f>IF(ISBLANK($A48),"",RANK(G48,G:G,1))</f>
        <v>1</v>
      </c>
      <c r="I48" s="98">
        <f>IF(ISBLANK($B48),"",INDEX('Výsledková listina'!PRINT_AREA,MATCH($B48,'Výsledková listina'!$E:$E,0),12))</f>
        <v>1960</v>
      </c>
      <c r="J48" s="99">
        <f>IF(ISBLANK($B48),"",INDEX('Výsledková listina'!PRINT_AREA,MATCH($B48,'Výsledková listina'!$E:$E,0),13))</f>
        <v>4</v>
      </c>
      <c r="K48" s="228">
        <f>IF(ISBLANK($A48),"",SUM(I48:I50))</f>
        <v>6460</v>
      </c>
      <c r="L48" s="228">
        <f>IF(ISBLANK($A48),"",SUM(J48:J50))</f>
        <v>13</v>
      </c>
      <c r="M48" s="216">
        <f>IF(ISBLANK($A48),"",RANK(L48,L:L,1))</f>
        <v>5</v>
      </c>
      <c r="N48" s="219">
        <f>IF(ISBLANK($A48),"",SUM(F48,K48))</f>
        <v>17720</v>
      </c>
      <c r="O48" s="222">
        <f>IF(ISBLANK($A48),"",SUM(G48,L48))</f>
        <v>20</v>
      </c>
      <c r="P48" s="216">
        <f>IF(N48="","",RANK(O48,O:O,1))</f>
        <v>1</v>
      </c>
    </row>
    <row r="49" spans="1:16" ht="12.75" customHeight="1" thickBot="1">
      <c r="A49" s="255"/>
      <c r="B49" s="133">
        <v>2534</v>
      </c>
      <c r="C49" s="97" t="str">
        <f>IF(ISBLANK($B49),"",INDEX('Výsledková listina'!PRINT_AREA,MATCH($B49,'Výsledková listina'!$E:$E,0),2))</f>
        <v>Staněk Karel</v>
      </c>
      <c r="D49" s="102">
        <f>IF(ISBLANK($B49),"",INDEX('Výsledková listina'!PRINT_AREA,MATCH($B49,'Výsledková listina'!$E:$E,0),8))</f>
        <v>5150</v>
      </c>
      <c r="E49" s="103">
        <f>IF(ISBLANK($B49),"",INDEX('Výsledková listina'!PRINT_AREA,MATCH($B49,'Výsledková listina'!$E:$E,0),9))</f>
        <v>3</v>
      </c>
      <c r="F49" s="229"/>
      <c r="G49" s="229"/>
      <c r="H49" s="217"/>
      <c r="I49" s="102">
        <f>IF(ISBLANK($B49),"",INDEX('Výsledková listina'!PRINT_AREA,MATCH($B49,'Výsledková listina'!$E:$E,0),12))</f>
        <v>950</v>
      </c>
      <c r="J49" s="103">
        <f>IF(ISBLANK($B49),"",INDEX('Výsledková listina'!PRINT_AREA,MATCH($B49,'Výsledková listina'!$E:$E,0),13))</f>
        <v>8</v>
      </c>
      <c r="K49" s="229"/>
      <c r="L49" s="229"/>
      <c r="M49" s="217"/>
      <c r="N49" s="220"/>
      <c r="O49" s="223"/>
      <c r="P49" s="217"/>
    </row>
    <row r="50" spans="1:16" ht="13.5" customHeight="1" thickBot="1">
      <c r="A50" s="256"/>
      <c r="B50" s="133">
        <v>2564</v>
      </c>
      <c r="C50" s="95" t="str">
        <f>IF(ISBLANK($B50),"",INDEX('Výsledková listina'!PRINT_AREA,MATCH($B50,'Výsledková listina'!$E:$E,0),2))</f>
        <v>Sládek Petr</v>
      </c>
      <c r="D50" s="100">
        <f>IF(ISBLANK($B50),"",INDEX('Výsledková listina'!PRINT_AREA,MATCH($B50,'Výsledková listina'!$E:$E,0),8))</f>
        <v>1960</v>
      </c>
      <c r="E50" s="101">
        <f>IF(ISBLANK($B50),"",INDEX('Výsledková listina'!PRINT_AREA,MATCH($B50,'Výsledková listina'!$E:$E,0),9))</f>
        <v>2</v>
      </c>
      <c r="F50" s="230"/>
      <c r="G50" s="230"/>
      <c r="H50" s="232"/>
      <c r="I50" s="100">
        <f>IF(ISBLANK($B50),"",INDEX('Výsledková listina'!PRINT_AREA,MATCH($B50,'Výsledková listina'!$E:$E,0),12))</f>
        <v>3550</v>
      </c>
      <c r="J50" s="101">
        <f>IF(ISBLANK($B50),"",INDEX('Výsledková listina'!PRINT_AREA,MATCH($B50,'Výsledková listina'!$E:$E,0),13))</f>
        <v>1</v>
      </c>
      <c r="K50" s="230"/>
      <c r="L50" s="230"/>
      <c r="M50" s="218"/>
      <c r="N50" s="221"/>
      <c r="O50" s="224"/>
      <c r="P50" s="218"/>
    </row>
    <row r="51" spans="1:16" ht="12.75" customHeight="1" thickBot="1">
      <c r="A51" s="225" t="s">
        <v>104</v>
      </c>
      <c r="B51" s="132">
        <v>2309</v>
      </c>
      <c r="C51" s="96" t="str">
        <f>IF(ISBLANK($B51),"",INDEX('Výsledková listina'!PRINT_AREA,MATCH($B51,'Výsledková listina'!$E:$E,0),2))</f>
        <v>Kasl Luboš</v>
      </c>
      <c r="D51" s="98">
        <f>IF(ISBLANK($B51),"",INDEX('Výsledková listina'!PRINT_AREA,MATCH($B51,'Výsledková listina'!$E:$E,0),8))</f>
        <v>660</v>
      </c>
      <c r="E51" s="99">
        <f>IF(ISBLANK($B51),"",INDEX('Výsledková listina'!PRINT_AREA,MATCH($B51,'Výsledková listina'!$E:$E,0),9))</f>
        <v>7</v>
      </c>
      <c r="F51" s="228">
        <f>IF(ISBLANK($A51),"",SUM(D51:D53))</f>
        <v>910</v>
      </c>
      <c r="G51" s="228">
        <f>IF(ISBLANK($A51),"",SUM(E51:E53))</f>
        <v>27</v>
      </c>
      <c r="H51" s="231">
        <f>IF(ISBLANK($A51),"",RANK(G51,G:G,1))</f>
        <v>19</v>
      </c>
      <c r="I51" s="98">
        <f>IF(ISBLANK($B51),"",INDEX('Výsledková listina'!PRINT_AREA,MATCH($B51,'Výsledková listina'!$E:$E,0),12))</f>
        <v>2940</v>
      </c>
      <c r="J51" s="99">
        <f>IF(ISBLANK($B51),"",INDEX('Výsledková listina'!PRINT_AREA,MATCH($B51,'Výsledková listina'!$E:$E,0),13))</f>
        <v>2</v>
      </c>
      <c r="K51" s="228">
        <f>IF(ISBLANK($A51),"",SUM(I51:I53))</f>
        <v>4640</v>
      </c>
      <c r="L51" s="228">
        <f>IF(ISBLANK($A51),"",SUM(J51:J53))</f>
        <v>16</v>
      </c>
      <c r="M51" s="216">
        <f>IF(ISBLANK($A51),"",RANK(L51,L:L,1))</f>
        <v>9</v>
      </c>
      <c r="N51" s="219">
        <f>IF(ISBLANK($A51),"",SUM(F51,K51))</f>
        <v>5550</v>
      </c>
      <c r="O51" s="222">
        <f>IF(ISBLANK($A51),"",SUM(G51,L51))</f>
        <v>43</v>
      </c>
      <c r="P51" s="216">
        <v>19</v>
      </c>
    </row>
    <row r="52" spans="1:16" ht="12.75" customHeight="1" thickBot="1">
      <c r="A52" s="226"/>
      <c r="B52" s="133">
        <v>2336</v>
      </c>
      <c r="C52" s="97" t="str">
        <f>IF(ISBLANK($B52),"",INDEX('Výsledková listina'!PRINT_AREA,MATCH($B52,'Výsledková listina'!$E:$E,0),2))</f>
        <v>Podrápský Petr </v>
      </c>
      <c r="D52" s="102">
        <f>IF(ISBLANK($B52),"",INDEX('Výsledková listina'!PRINT_AREA,MATCH($B52,'Výsledková listina'!$E:$E,0),8))</f>
        <v>150</v>
      </c>
      <c r="E52" s="103">
        <f>IF(ISBLANK($B52),"",INDEX('Výsledková listina'!PRINT_AREA,MATCH($B52,'Výsledková listina'!$E:$E,0),9))</f>
        <v>10</v>
      </c>
      <c r="F52" s="229"/>
      <c r="G52" s="229"/>
      <c r="H52" s="217"/>
      <c r="I52" s="102">
        <f>IF(ISBLANK($B52),"",INDEX('Výsledková listina'!PRINT_AREA,MATCH($B52,'Výsledková listina'!$E:$E,0),12))</f>
        <v>1500</v>
      </c>
      <c r="J52" s="103">
        <f>IF(ISBLANK($B52),"",INDEX('Výsledková listina'!PRINT_AREA,MATCH($B52,'Výsledková listina'!$E:$E,0),13))</f>
        <v>4</v>
      </c>
      <c r="K52" s="229"/>
      <c r="L52" s="229"/>
      <c r="M52" s="217"/>
      <c r="N52" s="220"/>
      <c r="O52" s="223"/>
      <c r="P52" s="217"/>
    </row>
    <row r="53" spans="1:16" ht="13.5" customHeight="1" thickBot="1">
      <c r="A53" s="227"/>
      <c r="B53" s="133">
        <v>2334</v>
      </c>
      <c r="C53" s="65" t="str">
        <f>IF(ISBLANK($B53),"",INDEX('Výsledková listina'!PRINT_AREA,MATCH($B53,'Výsledková listina'!$E:$E,0),2))</f>
        <v>Stříbrský Viktor</v>
      </c>
      <c r="D53" s="79">
        <f>IF(ISBLANK($B53),"",INDEX('Výsledková listina'!PRINT_AREA,MATCH($B53,'Výsledková listina'!$E:$E,0),8))</f>
        <v>100</v>
      </c>
      <c r="E53" s="76">
        <f>IF(ISBLANK($B53),"",INDEX('Výsledková listina'!PRINT_AREA,MATCH($B53,'Výsledková listina'!$E:$E,0),9))</f>
        <v>10</v>
      </c>
      <c r="F53" s="230"/>
      <c r="G53" s="230"/>
      <c r="H53" s="232"/>
      <c r="I53" s="115">
        <f>IF(ISBLANK($B53),"",INDEX('Výsledková listina'!PRINT_AREA,MATCH($B53,'Výsledková listina'!$E:$E,0),12))</f>
        <v>200</v>
      </c>
      <c r="J53" s="116">
        <f>IF(ISBLANK($B53),"",INDEX('Výsledková listina'!PRINT_AREA,MATCH($B53,'Výsledková listina'!$E:$E,0),13))</f>
        <v>10</v>
      </c>
      <c r="K53" s="230"/>
      <c r="L53" s="230"/>
      <c r="M53" s="218"/>
      <c r="N53" s="221"/>
      <c r="O53" s="224"/>
      <c r="P53" s="218"/>
    </row>
    <row r="54" spans="1:16" ht="13.5" thickBot="1">
      <c r="A54" s="225" t="s">
        <v>105</v>
      </c>
      <c r="B54" s="132">
        <v>2286</v>
      </c>
      <c r="C54" s="96" t="str">
        <f>IF(ISBLANK($B54),"",INDEX('Výsledková listina'!PRINT_AREA,MATCH($B54,'Výsledková listina'!$E:$E,0),2))</f>
        <v>Tóth Petr</v>
      </c>
      <c r="D54" s="98">
        <f>IF(ISBLANK($B54),"",INDEX('Výsledková listina'!PRINT_AREA,MATCH($B54,'Výsledková listina'!$E:$E,0),8))</f>
        <v>1300</v>
      </c>
      <c r="E54" s="99">
        <f>IF(ISBLANK($B54),"",INDEX('Výsledková listina'!PRINT_AREA,MATCH($B54,'Výsledková listina'!$E:$E,0),9))</f>
        <v>5.5</v>
      </c>
      <c r="F54" s="228">
        <f>IF(ISBLANK($A54),"",SUM(D54:D56))</f>
        <v>3240</v>
      </c>
      <c r="G54" s="228">
        <f>IF(ISBLANK($A54),"",SUM(E54:E56))</f>
        <v>22.5</v>
      </c>
      <c r="H54" s="231">
        <f>IF(ISBLANK($A54),"",RANK(G54,G:G,1))</f>
        <v>16</v>
      </c>
      <c r="I54" s="98">
        <f>IF(ISBLANK($B54),"",INDEX('Výsledková listina'!PRINT_AREA,MATCH($B54,'Výsledková listina'!$E:$E,0),12))</f>
        <v>2820</v>
      </c>
      <c r="J54" s="99">
        <f>IF(ISBLANK($B54),"",INDEX('Výsledková listina'!PRINT_AREA,MATCH($B54,'Výsledková listina'!$E:$E,0),13))</f>
        <v>3</v>
      </c>
      <c r="K54" s="228">
        <f>IF(ISBLANK($A54),"",SUM(I54:I56))</f>
        <v>6120</v>
      </c>
      <c r="L54" s="228">
        <f>IF(ISBLANK($A54),"",SUM(J54:J56))</f>
        <v>13.5</v>
      </c>
      <c r="M54" s="216">
        <f>IF(ISBLANK($A54),"",RANK(L54,L:L,1))</f>
        <v>6</v>
      </c>
      <c r="N54" s="219">
        <f>IF(ISBLANK($A54),"",SUM(F54,K54))</f>
        <v>9360</v>
      </c>
      <c r="O54" s="222">
        <f>IF(ISBLANK($A54),"",SUM(G54,L54))</f>
        <v>36</v>
      </c>
      <c r="P54" s="216">
        <f>IF(N54="","",RANK(O54,O:O,1))</f>
        <v>12</v>
      </c>
    </row>
    <row r="55" spans="1:16" ht="13.5" thickBot="1">
      <c r="A55" s="226"/>
      <c r="B55" s="133">
        <v>2285</v>
      </c>
      <c r="C55" s="97" t="str">
        <f>IF(ISBLANK($B55),"",INDEX('Výsledková listina'!PRINT_AREA,MATCH($B55,'Výsledková listina'!$E:$E,0),2))</f>
        <v>Dohnal Josef</v>
      </c>
      <c r="D55" s="102">
        <f>IF(ISBLANK($B55),"",INDEX('Výsledková listina'!PRINT_AREA,MATCH($B55,'Výsledková listina'!$E:$E,0),8))</f>
        <v>1760</v>
      </c>
      <c r="E55" s="103">
        <f>IF(ISBLANK($B55),"",INDEX('Výsledková listina'!PRINT_AREA,MATCH($B55,'Výsledková listina'!$E:$E,0),9))</f>
        <v>8</v>
      </c>
      <c r="F55" s="229"/>
      <c r="G55" s="229"/>
      <c r="H55" s="217"/>
      <c r="I55" s="102">
        <f>IF(ISBLANK($B55),"",INDEX('Výsledková listina'!PRINT_AREA,MATCH($B55,'Výsledková listina'!$E:$E,0),12))</f>
        <v>2500</v>
      </c>
      <c r="J55" s="103">
        <f>IF(ISBLANK($B55),"",INDEX('Výsledková listina'!PRINT_AREA,MATCH($B55,'Výsledková listina'!$E:$E,0),13))</f>
        <v>2.5</v>
      </c>
      <c r="K55" s="229"/>
      <c r="L55" s="229"/>
      <c r="M55" s="217"/>
      <c r="N55" s="220"/>
      <c r="O55" s="223"/>
      <c r="P55" s="217"/>
    </row>
    <row r="56" spans="1:16" ht="13.5" thickBot="1">
      <c r="A56" s="227"/>
      <c r="B56" s="133">
        <v>2287</v>
      </c>
      <c r="C56" s="65" t="str">
        <f>IF(ISBLANK($B56),"",INDEX('Výsledková listina'!PRINT_AREA,MATCH($B56,'Výsledková listina'!$E:$E,0),2))</f>
        <v>Panocha Josef</v>
      </c>
      <c r="D56" s="79">
        <f>IF(ISBLANK($B56),"",INDEX('Výsledková listina'!PRINT_AREA,MATCH($B56,'Výsledková listina'!$E:$E,0),8))</f>
        <v>180</v>
      </c>
      <c r="E56" s="76">
        <f>IF(ISBLANK($B56),"",INDEX('Výsledková listina'!PRINT_AREA,MATCH($B56,'Výsledková listina'!$E:$E,0),9))</f>
        <v>9</v>
      </c>
      <c r="F56" s="230"/>
      <c r="G56" s="230"/>
      <c r="H56" s="232"/>
      <c r="I56" s="115">
        <f>IF(ISBLANK($B56),"",INDEX('Výsledková listina'!PRINT_AREA,MATCH($B56,'Výsledková listina'!$E:$E,0),12))</f>
        <v>800</v>
      </c>
      <c r="J56" s="116">
        <f>IF(ISBLANK($B56),"",INDEX('Výsledková listina'!PRINT_AREA,MATCH($B56,'Výsledková listina'!$E:$E,0),13))</f>
        <v>8</v>
      </c>
      <c r="K56" s="230"/>
      <c r="L56" s="230"/>
      <c r="M56" s="218"/>
      <c r="N56" s="221"/>
      <c r="O56" s="224"/>
      <c r="P56" s="218"/>
    </row>
    <row r="57" spans="1:16" ht="13.5" thickBot="1">
      <c r="A57" s="225" t="s">
        <v>106</v>
      </c>
      <c r="B57" s="132">
        <v>2373</v>
      </c>
      <c r="C57" s="96" t="str">
        <f>IF(ISBLANK($B57),"",INDEX('Výsledková listina'!PRINT_AREA,MATCH($B57,'Výsledková listina'!$E:$E,0),2))</f>
        <v>Havlíček Petr</v>
      </c>
      <c r="D57" s="98">
        <f>IF(ISBLANK($B57),"",INDEX('Výsledková listina'!PRINT_AREA,MATCH($B57,'Výsledková listina'!$E:$E,0),8))</f>
        <v>2960</v>
      </c>
      <c r="E57" s="99">
        <f>IF(ISBLANK($B57),"",INDEX('Výsledková listina'!PRINT_AREA,MATCH($B57,'Výsledková listina'!$E:$E,0),9))</f>
        <v>1</v>
      </c>
      <c r="F57" s="228">
        <f>IF(ISBLANK($A57),"",SUM(D57:D59))</f>
        <v>10160</v>
      </c>
      <c r="G57" s="228">
        <f>IF(ISBLANK($A57),"",SUM(E57:E59))</f>
        <v>8.5</v>
      </c>
      <c r="H57" s="231">
        <f>IF(ISBLANK($A57),"",RANK(G57,G:G,1))</f>
        <v>2</v>
      </c>
      <c r="I57" s="98">
        <f>IF(ISBLANK($B57),"",INDEX('Výsledková listina'!PRINT_AREA,MATCH($B57,'Výsledková listina'!$E:$E,0),12))</f>
        <v>1150</v>
      </c>
      <c r="J57" s="99">
        <f>IF(ISBLANK($B57),"",INDEX('Výsledková listina'!PRINT_AREA,MATCH($B57,'Výsledková listina'!$E:$E,0),13))</f>
        <v>7</v>
      </c>
      <c r="K57" s="228">
        <f>IF(ISBLANK($A57),"",SUM(I57:I59))</f>
        <v>3330</v>
      </c>
      <c r="L57" s="228">
        <f>IF(ISBLANK($A57),"",SUM(J57:J59))</f>
        <v>21</v>
      </c>
      <c r="M57" s="216">
        <f>IF(ISBLANK($A57),"",RANK(L57,L:L,1))</f>
        <v>16</v>
      </c>
      <c r="N57" s="219">
        <f>IF(ISBLANK($A57),"",SUM(F57,K57))</f>
        <v>13490</v>
      </c>
      <c r="O57" s="222">
        <f>IF(ISBLANK($A57),"",SUM(G57,L57))</f>
        <v>29.5</v>
      </c>
      <c r="P57" s="216">
        <f>IF(N57="","",RANK(O57,O:O,1))</f>
        <v>8</v>
      </c>
    </row>
    <row r="58" spans="1:16" ht="13.5" thickBot="1">
      <c r="A58" s="226"/>
      <c r="B58" s="133">
        <v>2462</v>
      </c>
      <c r="C58" s="97" t="str">
        <f>IF(ISBLANK($B58),"",INDEX('Výsledková listina'!PRINT_AREA,MATCH($B58,'Výsledková listina'!$E:$E,0),2))</f>
        <v>Vodička Miloslav</v>
      </c>
      <c r="D58" s="102">
        <f>IF(ISBLANK($B58),"",INDEX('Výsledková listina'!PRINT_AREA,MATCH($B58,'Výsledková listina'!$E:$E,0),8))</f>
        <v>1150</v>
      </c>
      <c r="E58" s="103">
        <f>IF(ISBLANK($B58),"",INDEX('Výsledková listina'!PRINT_AREA,MATCH($B58,'Výsledková listina'!$E:$E,0),9))</f>
        <v>6.5</v>
      </c>
      <c r="F58" s="229"/>
      <c r="G58" s="229"/>
      <c r="H58" s="217"/>
      <c r="I58" s="102">
        <f>IF(ISBLANK($B58),"",INDEX('Výsledková listina'!PRINT_AREA,MATCH($B58,'Výsledková listina'!$E:$E,0),12))</f>
        <v>760</v>
      </c>
      <c r="J58" s="103">
        <f>IF(ISBLANK($B58),"",INDEX('Výsledková listina'!PRINT_AREA,MATCH($B58,'Výsledková listina'!$E:$E,0),13))</f>
        <v>8</v>
      </c>
      <c r="K58" s="229"/>
      <c r="L58" s="229"/>
      <c r="M58" s="217"/>
      <c r="N58" s="220"/>
      <c r="O58" s="223"/>
      <c r="P58" s="217"/>
    </row>
    <row r="59" spans="1:16" ht="13.5" thickBot="1">
      <c r="A59" s="227"/>
      <c r="B59" s="133">
        <v>2492</v>
      </c>
      <c r="C59" s="65" t="str">
        <f>IF(ISBLANK($B59),"",INDEX('Výsledková listina'!PRINT_AREA,MATCH($B59,'Výsledková listina'!$E:$E,0),2))</f>
        <v>Funda Petr</v>
      </c>
      <c r="D59" s="79">
        <f>IF(ISBLANK($B59),"",INDEX('Výsledková listina'!PRINT_AREA,MATCH($B59,'Výsledková listina'!$E:$E,0),8))</f>
        <v>6050</v>
      </c>
      <c r="E59" s="76">
        <f>IF(ISBLANK($B59),"",INDEX('Výsledková listina'!PRINT_AREA,MATCH($B59,'Výsledková listina'!$E:$E,0),9))</f>
        <v>1</v>
      </c>
      <c r="F59" s="230"/>
      <c r="G59" s="230"/>
      <c r="H59" s="232"/>
      <c r="I59" s="115">
        <f>IF(ISBLANK($B59),"",INDEX('Výsledková listina'!PRINT_AREA,MATCH($B59,'Výsledková listina'!$E:$E,0),12))</f>
        <v>1420</v>
      </c>
      <c r="J59" s="116">
        <f>IF(ISBLANK($B59),"",INDEX('Výsledková listina'!PRINT_AREA,MATCH($B59,'Výsledková listina'!$E:$E,0),13))</f>
        <v>6</v>
      </c>
      <c r="K59" s="230"/>
      <c r="L59" s="230"/>
      <c r="M59" s="218"/>
      <c r="N59" s="221"/>
      <c r="O59" s="224"/>
      <c r="P59" s="218"/>
    </row>
    <row r="60" spans="1:16" ht="13.5" thickBot="1">
      <c r="A60" s="225" t="s">
        <v>107</v>
      </c>
      <c r="B60" s="132">
        <v>2357</v>
      </c>
      <c r="C60" s="96" t="str">
        <f>IF(ISBLANK($B60),"",INDEX('Výsledková listina'!PRINT_AREA,MATCH($B60,'Výsledková listina'!$E:$E,0),2))</f>
        <v>Popadinec Richard</v>
      </c>
      <c r="D60" s="98">
        <f>IF(ISBLANK($B60),"",INDEX('Výsledková listina'!PRINT_AREA,MATCH($B60,'Výsledková listina'!$E:$E,0),8))</f>
        <v>2800</v>
      </c>
      <c r="E60" s="99">
        <f>IF(ISBLANK($B60),"",INDEX('Výsledková listina'!PRINT_AREA,MATCH($B60,'Výsledková listina'!$E:$E,0),9))</f>
        <v>3</v>
      </c>
      <c r="F60" s="228">
        <f>IF(ISBLANK($A60),"",SUM(D60:D62))</f>
        <v>7500</v>
      </c>
      <c r="G60" s="228">
        <f>IF(ISBLANK($A60),"",SUM(E60:E62))</f>
        <v>14</v>
      </c>
      <c r="H60" s="231">
        <f>IF(ISBLANK($A60),"",RANK(G60,G:G,1))</f>
        <v>7</v>
      </c>
      <c r="I60" s="98">
        <f>IF(ISBLANK($B60),"",INDEX('Výsledková listina'!PRINT_AREA,MATCH($B60,'Výsledková listina'!$E:$E,0),12))</f>
        <v>240</v>
      </c>
      <c r="J60" s="99">
        <f>IF(ISBLANK($B60),"",INDEX('Výsledková listina'!PRINT_AREA,MATCH($B60,'Výsledková listina'!$E:$E,0),13))</f>
        <v>10</v>
      </c>
      <c r="K60" s="228">
        <f>IF(ISBLANK($A60),"",SUM(I60:I62))</f>
        <v>1790</v>
      </c>
      <c r="L60" s="228">
        <f>IF(ISBLANK($A60),"",SUM(J60:J62))</f>
        <v>26.5</v>
      </c>
      <c r="M60" s="216">
        <f>IF(ISBLANK($A60),"",RANK(L60,L:L,1))</f>
        <v>20</v>
      </c>
      <c r="N60" s="219">
        <f>IF(ISBLANK($A60),"",SUM(F60,K60))</f>
        <v>9290</v>
      </c>
      <c r="O60" s="222">
        <f>IF(ISBLANK($A60),"",SUM(G60,L60))</f>
        <v>40.5</v>
      </c>
      <c r="P60" s="216">
        <f>IF(N60="","",RANK(O60,O:O,1))</f>
        <v>15</v>
      </c>
    </row>
    <row r="61" spans="1:16" ht="13.5" thickBot="1">
      <c r="A61" s="226"/>
      <c r="B61" s="133">
        <v>2529</v>
      </c>
      <c r="C61" s="97" t="str">
        <f>IF(ISBLANK($B61),"",INDEX('Výsledková listina'!PRINT_AREA,MATCH($B61,'Výsledková listina'!$E:$E,0),2))</f>
        <v>Řehoř Michal</v>
      </c>
      <c r="D61" s="102">
        <f>IF(ISBLANK($B61),"",INDEX('Výsledková listina'!PRINT_AREA,MATCH($B61,'Výsledková listina'!$E:$E,0),8))</f>
        <v>4100</v>
      </c>
      <c r="E61" s="103">
        <f>IF(ISBLANK($B61),"",INDEX('Výsledková listina'!PRINT_AREA,MATCH($B61,'Výsledková listina'!$E:$E,0),9))</f>
        <v>3</v>
      </c>
      <c r="F61" s="229"/>
      <c r="G61" s="229"/>
      <c r="H61" s="217"/>
      <c r="I61" s="102">
        <f>IF(ISBLANK($B61),"",INDEX('Výsledková listina'!PRINT_AREA,MATCH($B61,'Výsledková listina'!$E:$E,0),12))</f>
        <v>650</v>
      </c>
      <c r="J61" s="103">
        <f>IF(ISBLANK($B61),"",INDEX('Výsledková listina'!PRINT_AREA,MATCH($B61,'Výsledková listina'!$E:$E,0),13))</f>
        <v>10</v>
      </c>
      <c r="K61" s="229"/>
      <c r="L61" s="229"/>
      <c r="M61" s="217"/>
      <c r="N61" s="220"/>
      <c r="O61" s="223"/>
      <c r="P61" s="217"/>
    </row>
    <row r="62" spans="1:16" ht="13.5" thickBot="1">
      <c r="A62" s="227"/>
      <c r="B62" s="133">
        <v>2816</v>
      </c>
      <c r="C62" s="65" t="str">
        <f>IF(ISBLANK($B62),"",INDEX('Výsledková listina'!PRINT_AREA,MATCH($B62,'Výsledková listina'!$E:$E,0),2))</f>
        <v>Goda Jan</v>
      </c>
      <c r="D62" s="79">
        <f>IF(ISBLANK($B62),"",INDEX('Výsledková listina'!PRINT_AREA,MATCH($B62,'Výsledková listina'!$E:$E,0),8))</f>
        <v>600</v>
      </c>
      <c r="E62" s="76">
        <f>IF(ISBLANK($B62),"",INDEX('Výsledková listina'!PRINT_AREA,MATCH($B62,'Výsledková listina'!$E:$E,0),9))</f>
        <v>8</v>
      </c>
      <c r="F62" s="230"/>
      <c r="G62" s="230"/>
      <c r="H62" s="232"/>
      <c r="I62" s="115">
        <f>IF(ISBLANK($B62),"",INDEX('Výsledková listina'!PRINT_AREA,MATCH($B62,'Výsledková listina'!$E:$E,0),12))</f>
        <v>900</v>
      </c>
      <c r="J62" s="116">
        <f>IF(ISBLANK($B62),"",INDEX('Výsledková listina'!PRINT_AREA,MATCH($B62,'Výsledková listina'!$E:$E,0),13))</f>
        <v>6.5</v>
      </c>
      <c r="K62" s="230"/>
      <c r="L62" s="230"/>
      <c r="M62" s="218"/>
      <c r="N62" s="221"/>
      <c r="O62" s="224"/>
      <c r="P62" s="218"/>
    </row>
    <row r="63" spans="1:16" ht="13.5" thickBot="1">
      <c r="A63" s="254" t="s">
        <v>108</v>
      </c>
      <c r="B63" s="132">
        <v>345</v>
      </c>
      <c r="C63" s="96" t="str">
        <f>IF(ISBLANK($B63),"",INDEX('Výsledková listina'!PRINT_AREA,MATCH($B63,'Výsledková listina'!$E:$E,0),2))</f>
        <v>Dušánek Bohuslav</v>
      </c>
      <c r="D63" s="98">
        <f>IF(ISBLANK($B63),"",INDEX('Výsledková listina'!PRINT_AREA,MATCH($B63,'Výsledková listina'!$E:$E,0),8))</f>
        <v>1400</v>
      </c>
      <c r="E63" s="99">
        <f>IF(ISBLANK($B63),"",INDEX('Výsledková listina'!PRINT_AREA,MATCH($B63,'Výsledková listina'!$E:$E,0),9))</f>
        <v>5</v>
      </c>
      <c r="F63" s="228">
        <f>IF(ISBLANK($A63),"",SUM(D63:D65))</f>
        <v>3560</v>
      </c>
      <c r="G63" s="228">
        <f>IF(ISBLANK($A63),"",SUM(E63:E65))</f>
        <v>16.5</v>
      </c>
      <c r="H63" s="231">
        <f>IF(ISBLANK($A63),"",RANK(G63,G:G,1))</f>
        <v>13</v>
      </c>
      <c r="I63" s="98">
        <f>IF(ISBLANK($B63),"",INDEX('Výsledková listina'!PRINT_AREA,MATCH($B63,'Výsledková listina'!$E:$E,0),12))</f>
        <v>1340</v>
      </c>
      <c r="J63" s="99">
        <f>IF(ISBLANK($B63),"",INDEX('Výsledková listina'!PRINT_AREA,MATCH($B63,'Výsledková listina'!$E:$E,0),13))</f>
        <v>6</v>
      </c>
      <c r="K63" s="228">
        <f>IF(ISBLANK($A63),"",SUM(I63:I65))</f>
        <v>3410</v>
      </c>
      <c r="L63" s="228">
        <f>IF(ISBLANK($A63),"",SUM(J63:J65))</f>
        <v>22</v>
      </c>
      <c r="M63" s="216">
        <f>IF(ISBLANK($A63),"",RANK(L63,L:L,1))</f>
        <v>17</v>
      </c>
      <c r="N63" s="219">
        <f>IF(ISBLANK($A63),"",SUM(F63,K63))</f>
        <v>6970</v>
      </c>
      <c r="O63" s="222">
        <f>IF(ISBLANK($A63),"",SUM(G63,L63))</f>
        <v>38.5</v>
      </c>
      <c r="P63" s="216">
        <f>IF(N63="","",RANK(O63,O:O,1))</f>
        <v>14</v>
      </c>
    </row>
    <row r="64" spans="1:16" ht="13.5" thickBot="1">
      <c r="A64" s="255"/>
      <c r="B64" s="133">
        <v>8</v>
      </c>
      <c r="C64" s="97" t="str">
        <f>IF(ISBLANK($B64),"",INDEX('Výsledková listina'!PRINT_AREA,MATCH($B64,'Výsledková listina'!$E:$E,0),2))</f>
        <v>Vitebský Jakub </v>
      </c>
      <c r="D64" s="102">
        <f>IF(ISBLANK($B64),"",INDEX('Výsledková listina'!PRINT_AREA,MATCH($B64,'Výsledková listina'!$E:$E,0),8))</f>
        <v>1300</v>
      </c>
      <c r="E64" s="103">
        <f>IF(ISBLANK($B64),"",INDEX('Výsledková listina'!PRINT_AREA,MATCH($B64,'Výsledková listina'!$E:$E,0),9))</f>
        <v>5.5</v>
      </c>
      <c r="F64" s="229"/>
      <c r="G64" s="229"/>
      <c r="H64" s="217"/>
      <c r="I64" s="102">
        <f>IF(ISBLANK($B64),"",INDEX('Výsledková listina'!PRINT_AREA,MATCH($B64,'Výsledková listina'!$E:$E,0),12))</f>
        <v>520</v>
      </c>
      <c r="J64" s="103">
        <f>IF(ISBLANK($B64),"",INDEX('Výsledková listina'!PRINT_AREA,MATCH($B64,'Výsledková listina'!$E:$E,0),13))</f>
        <v>10</v>
      </c>
      <c r="K64" s="229"/>
      <c r="L64" s="229"/>
      <c r="M64" s="217"/>
      <c r="N64" s="220"/>
      <c r="O64" s="223"/>
      <c r="P64" s="217"/>
    </row>
    <row r="65" spans="1:16" ht="13.5" thickBot="1">
      <c r="A65" s="256"/>
      <c r="B65" s="133">
        <v>2793</v>
      </c>
      <c r="C65" s="65" t="str">
        <f>IF(ISBLANK($B65),"",INDEX('Výsledková listina'!PRINT_AREA,MATCH($B65,'Výsledková listina'!$E:$E,0),2))</f>
        <v>Sičák Pavel</v>
      </c>
      <c r="D65" s="79">
        <f>IF(ISBLANK($B65),"",INDEX('Výsledková listina'!PRINT_AREA,MATCH($B65,'Výsledková listina'!$E:$E,0),8))</f>
        <v>860</v>
      </c>
      <c r="E65" s="76">
        <f>IF(ISBLANK($B65),"",INDEX('Výsledková listina'!PRINT_AREA,MATCH($B65,'Výsledková listina'!$E:$E,0),9))</f>
        <v>6</v>
      </c>
      <c r="F65" s="230"/>
      <c r="G65" s="230"/>
      <c r="H65" s="232"/>
      <c r="I65" s="115">
        <f>IF(ISBLANK($B65),"",INDEX('Výsledková listina'!PRINT_AREA,MATCH($B65,'Výsledková listina'!$E:$E,0),12))</f>
        <v>1550</v>
      </c>
      <c r="J65" s="116">
        <f>IF(ISBLANK($B65),"",INDEX('Výsledková listina'!PRINT_AREA,MATCH($B65,'Výsledková listina'!$E:$E,0),13))</f>
        <v>6</v>
      </c>
      <c r="K65" s="230"/>
      <c r="L65" s="230"/>
      <c r="M65" s="218"/>
      <c r="N65" s="221"/>
      <c r="O65" s="224"/>
      <c r="P65" s="218"/>
    </row>
  </sheetData>
  <sheetProtection sort="0" autoFilter="0"/>
  <autoFilter ref="D5:P65"/>
  <mergeCells count="211">
    <mergeCell ref="O51:O53"/>
    <mergeCell ref="P51:P53"/>
    <mergeCell ref="O24:O26"/>
    <mergeCell ref="P24:P26"/>
    <mergeCell ref="O36:O38"/>
    <mergeCell ref="P36:P38"/>
    <mergeCell ref="O42:O44"/>
    <mergeCell ref="P42:P44"/>
    <mergeCell ref="O39:O41"/>
    <mergeCell ref="P39:P41"/>
    <mergeCell ref="A51:A53"/>
    <mergeCell ref="F51:F53"/>
    <mergeCell ref="G51:G53"/>
    <mergeCell ref="H51:H53"/>
    <mergeCell ref="K51:K53"/>
    <mergeCell ref="L51:L53"/>
    <mergeCell ref="M51:M53"/>
    <mergeCell ref="N51:N53"/>
    <mergeCell ref="A48:A50"/>
    <mergeCell ref="F48:F50"/>
    <mergeCell ref="G48:G50"/>
    <mergeCell ref="H48:H50"/>
    <mergeCell ref="K48:K50"/>
    <mergeCell ref="L48:L50"/>
    <mergeCell ref="M48:M50"/>
    <mergeCell ref="N48:N50"/>
    <mergeCell ref="O15:O17"/>
    <mergeCell ref="P15:P17"/>
    <mergeCell ref="A33:A35"/>
    <mergeCell ref="F33:F35"/>
    <mergeCell ref="G33:G35"/>
    <mergeCell ref="H33:H35"/>
    <mergeCell ref="K33:K35"/>
    <mergeCell ref="L33:L35"/>
    <mergeCell ref="M33:M35"/>
    <mergeCell ref="N33:N35"/>
    <mergeCell ref="A15:A17"/>
    <mergeCell ref="F15:F17"/>
    <mergeCell ref="G15:G17"/>
    <mergeCell ref="H15:H17"/>
    <mergeCell ref="K15:K17"/>
    <mergeCell ref="L15:L17"/>
    <mergeCell ref="M15:M17"/>
    <mergeCell ref="N15:N17"/>
    <mergeCell ref="O12:O14"/>
    <mergeCell ref="P12:P14"/>
    <mergeCell ref="A36:A38"/>
    <mergeCell ref="F36:F38"/>
    <mergeCell ref="G36:G38"/>
    <mergeCell ref="H36:H38"/>
    <mergeCell ref="K36:K38"/>
    <mergeCell ref="L36:L38"/>
    <mergeCell ref="M36:M38"/>
    <mergeCell ref="N36:N38"/>
    <mergeCell ref="A12:A14"/>
    <mergeCell ref="F12:F14"/>
    <mergeCell ref="G12:G14"/>
    <mergeCell ref="H12:H14"/>
    <mergeCell ref="K12:K14"/>
    <mergeCell ref="L12:L14"/>
    <mergeCell ref="M12:M14"/>
    <mergeCell ref="N12:N14"/>
    <mergeCell ref="A42:A44"/>
    <mergeCell ref="F42:F44"/>
    <mergeCell ref="G42:G44"/>
    <mergeCell ref="H42:H44"/>
    <mergeCell ref="K42:K44"/>
    <mergeCell ref="L42:L44"/>
    <mergeCell ref="M42:M44"/>
    <mergeCell ref="N42:N44"/>
    <mergeCell ref="O27:O29"/>
    <mergeCell ref="P27:P29"/>
    <mergeCell ref="A39:A41"/>
    <mergeCell ref="F39:F41"/>
    <mergeCell ref="G39:G41"/>
    <mergeCell ref="H39:H41"/>
    <mergeCell ref="K39:K41"/>
    <mergeCell ref="L39:L41"/>
    <mergeCell ref="A27:A29"/>
    <mergeCell ref="F27:F29"/>
    <mergeCell ref="G27:G29"/>
    <mergeCell ref="H27:H29"/>
    <mergeCell ref="K27:K29"/>
    <mergeCell ref="L27:L29"/>
    <mergeCell ref="O9:O11"/>
    <mergeCell ref="P9:P11"/>
    <mergeCell ref="A21:A23"/>
    <mergeCell ref="F21:F23"/>
    <mergeCell ref="G21:G23"/>
    <mergeCell ref="H21:H23"/>
    <mergeCell ref="K21:K23"/>
    <mergeCell ref="L21:L23"/>
    <mergeCell ref="O21:O23"/>
    <mergeCell ref="P21:P23"/>
    <mergeCell ref="O30:O32"/>
    <mergeCell ref="P30:P32"/>
    <mergeCell ref="A9:A11"/>
    <mergeCell ref="F9:F11"/>
    <mergeCell ref="G9:G11"/>
    <mergeCell ref="H9:H11"/>
    <mergeCell ref="K9:K11"/>
    <mergeCell ref="L9:L11"/>
    <mergeCell ref="M27:M29"/>
    <mergeCell ref="N27:N29"/>
    <mergeCell ref="N9:N11"/>
    <mergeCell ref="A30:A32"/>
    <mergeCell ref="F30:F32"/>
    <mergeCell ref="G30:G32"/>
    <mergeCell ref="H30:H32"/>
    <mergeCell ref="A24:A26"/>
    <mergeCell ref="F24:F26"/>
    <mergeCell ref="G24:G26"/>
    <mergeCell ref="H24:H26"/>
    <mergeCell ref="M21:M23"/>
    <mergeCell ref="O33:O35"/>
    <mergeCell ref="P33:P35"/>
    <mergeCell ref="O48:O50"/>
    <mergeCell ref="P48:P50"/>
    <mergeCell ref="O45:O47"/>
    <mergeCell ref="P45:P47"/>
    <mergeCell ref="G6:G8"/>
    <mergeCell ref="H6:H8"/>
    <mergeCell ref="M6:M8"/>
    <mergeCell ref="N6:N8"/>
    <mergeCell ref="K6:K8"/>
    <mergeCell ref="L6:L8"/>
    <mergeCell ref="K24:K26"/>
    <mergeCell ref="L24:L26"/>
    <mergeCell ref="A18:A20"/>
    <mergeCell ref="F18:F20"/>
    <mergeCell ref="M24:M26"/>
    <mergeCell ref="N24:N26"/>
    <mergeCell ref="G18:G20"/>
    <mergeCell ref="H18:H20"/>
    <mergeCell ref="N21:N23"/>
    <mergeCell ref="K45:K47"/>
    <mergeCell ref="L45:L47"/>
    <mergeCell ref="M45:M47"/>
    <mergeCell ref="N45:N47"/>
    <mergeCell ref="K30:K32"/>
    <mergeCell ref="L30:L32"/>
    <mergeCell ref="M30:M32"/>
    <mergeCell ref="N30:N32"/>
    <mergeCell ref="M39:M41"/>
    <mergeCell ref="N39:N41"/>
    <mergeCell ref="A1:P1"/>
    <mergeCell ref="A3:A5"/>
    <mergeCell ref="D4:E4"/>
    <mergeCell ref="F4:H4"/>
    <mergeCell ref="D3:H3"/>
    <mergeCell ref="N18:N20"/>
    <mergeCell ref="O6:O8"/>
    <mergeCell ref="P6:P8"/>
    <mergeCell ref="A6:A8"/>
    <mergeCell ref="F6:F8"/>
    <mergeCell ref="I4:J4"/>
    <mergeCell ref="K4:M4"/>
    <mergeCell ref="P18:P20"/>
    <mergeCell ref="O18:O20"/>
    <mergeCell ref="K18:K20"/>
    <mergeCell ref="L18:L20"/>
    <mergeCell ref="M18:M20"/>
    <mergeCell ref="N3:P4"/>
    <mergeCell ref="I3:M3"/>
    <mergeCell ref="M9:M11"/>
    <mergeCell ref="B3:B5"/>
    <mergeCell ref="C3:C5"/>
    <mergeCell ref="A54:A56"/>
    <mergeCell ref="F54:F56"/>
    <mergeCell ref="G54:G56"/>
    <mergeCell ref="H54:H56"/>
    <mergeCell ref="A45:A47"/>
    <mergeCell ref="F45:F47"/>
    <mergeCell ref="G45:G47"/>
    <mergeCell ref="H45:H47"/>
    <mergeCell ref="K54:K56"/>
    <mergeCell ref="L54:L56"/>
    <mergeCell ref="M54:M56"/>
    <mergeCell ref="N54:N56"/>
    <mergeCell ref="O54:O56"/>
    <mergeCell ref="P54:P56"/>
    <mergeCell ref="A57:A59"/>
    <mergeCell ref="F57:F59"/>
    <mergeCell ref="G57:G59"/>
    <mergeCell ref="H57:H59"/>
    <mergeCell ref="K57:K59"/>
    <mergeCell ref="L57:L59"/>
    <mergeCell ref="M57:M59"/>
    <mergeCell ref="N57:N59"/>
    <mergeCell ref="O57:O59"/>
    <mergeCell ref="P57:P59"/>
    <mergeCell ref="A60:A62"/>
    <mergeCell ref="F60:F62"/>
    <mergeCell ref="G60:G62"/>
    <mergeCell ref="H60:H62"/>
    <mergeCell ref="K60:K62"/>
    <mergeCell ref="L60:L62"/>
    <mergeCell ref="A63:A65"/>
    <mergeCell ref="F63:F65"/>
    <mergeCell ref="G63:G65"/>
    <mergeCell ref="H63:H65"/>
    <mergeCell ref="K63:K65"/>
    <mergeCell ref="L63:L65"/>
    <mergeCell ref="M63:M65"/>
    <mergeCell ref="N63:N65"/>
    <mergeCell ref="O63:O65"/>
    <mergeCell ref="P63:P65"/>
    <mergeCell ref="M60:M62"/>
    <mergeCell ref="N60:N62"/>
    <mergeCell ref="O60:O62"/>
    <mergeCell ref="P60:P62"/>
  </mergeCells>
  <printOptions horizontalCentered="1"/>
  <pageMargins left="0.31496062992125984" right="0.2755905511811024" top="0.5511811023622047" bottom="0.5118110236220472" header="0.35433070866141736" footer="0.31496062992125984"/>
  <pageSetup fitToHeight="2" horizontalDpi="600" verticalDpi="600" orientation="landscape" paperSize="9" scale="95" r:id="rId1"/>
  <headerFooter alignWithMargins="0">
    <oddFooter>&amp;L&amp;F 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Srb</cp:lastModifiedBy>
  <cp:lastPrinted>2009-05-31T13:54:43Z</cp:lastPrinted>
  <dcterms:created xsi:type="dcterms:W3CDTF">2001-02-19T07:45:56Z</dcterms:created>
  <dcterms:modified xsi:type="dcterms:W3CDTF">2009-06-01T06:29:43Z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-304722618</vt:i4>
  </property>
  <property fmtid="{D5CDD505-2E9C-101B-9397-08002B2CF9AE}" pid="3" name="_EmailSubject">
    <vt:lpwstr>COLMIC</vt:lpwstr>
  </property>
  <property fmtid="{D5CDD505-2E9C-101B-9397-08002B2CF9AE}" pid="4" name="_AuthorEmail">
    <vt:lpwstr>msvehla@cmail.cz</vt:lpwstr>
  </property>
  <property fmtid="{D5CDD505-2E9C-101B-9397-08002B2CF9AE}" pid="5" name="_AuthorEmailDisplayName">
    <vt:lpwstr>Michal Švehla</vt:lpwstr>
  </property>
  <property fmtid="{D5CDD505-2E9C-101B-9397-08002B2CF9AE}" pid="6" name="_PreviousAdHocReviewCycleID">
    <vt:i4>1008986697</vt:i4>
  </property>
  <property fmtid="{D5CDD505-2E9C-101B-9397-08002B2CF9AE}" pid="7" name="_ReviewingToolsShownOnce">
    <vt:lpwstr/>
  </property>
</Properties>
</file>